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egycymoedd-my.sharepoint.com/personal/bronwen_davies_cymoedd_ac_uk/Documents/Procurement/2. Contracts/2025 Waaste Services/"/>
    </mc:Choice>
  </mc:AlternateContent>
  <xr:revisionPtr revIDLastSave="0" documentId="8_{2B8990C2-A030-4908-B6F4-D1F3B02FC439}" xr6:coauthVersionLast="47" xr6:coauthVersionMax="47" xr10:uidLastSave="{00000000-0000-0000-0000-000000000000}"/>
  <bookViews>
    <workbookView xWindow="-120" yWindow="-120" windowWidth="29040" windowHeight="15720" xr2:uid="{510435A0-A564-4CD2-B994-053E55F6655E}"/>
  </bookViews>
  <sheets>
    <sheet name="Skip Waste AVG Const" sheetId="1" r:id="rId1"/>
    <sheet name="Waste" sheetId="7" r:id="rId2"/>
    <sheet name="paper" sheetId="8" r:id="rId3"/>
    <sheet name="Old F Gases" sheetId="5" state="hidden" r:id="rId4"/>
  </sheets>
  <externalReferences>
    <externalReference r:id="rId5"/>
  </externalReferences>
  <definedNames>
    <definedName name="_xlnm._FilterDatabase" localSheetId="3" hidden="1">'Old F Gases'!$A$2:$L$2</definedName>
    <definedName name="_xlnm._FilterDatabase" localSheetId="0" hidden="1">'Skip Waste AVG Const'!$S$2:$X$45</definedName>
    <definedName name="_xlnm._FilterDatabase" localSheetId="1" hidden="1">Waste!$K$1:$N$1</definedName>
    <definedName name="Ease">[1]Lists!$D$4:$D$10</definedName>
    <definedName name="Methodologyall">[1]Lists!$B$4:$B$6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7" i="1" l="1"/>
  <c r="E5" i="7"/>
  <c r="AE12" i="1"/>
  <c r="AD12" i="1"/>
  <c r="Y34" i="1"/>
  <c r="Y32" i="1"/>
  <c r="Y69" i="1"/>
  <c r="U27" i="5" l="1"/>
  <c r="M110" i="5"/>
  <c r="M107" i="5"/>
  <c r="M192" i="5"/>
  <c r="M190" i="5"/>
  <c r="M184" i="5"/>
  <c r="M183" i="5"/>
  <c r="M165" i="5"/>
  <c r="M161" i="5"/>
  <c r="M142" i="5"/>
  <c r="M139" i="5"/>
  <c r="M133" i="5"/>
  <c r="M128" i="5"/>
  <c r="M126" i="5"/>
  <c r="M117" i="5"/>
  <c r="M115" i="5"/>
  <c r="M114" i="5"/>
  <c r="M112" i="5"/>
  <c r="M106" i="5"/>
  <c r="M97" i="5"/>
  <c r="M71" i="5"/>
  <c r="M59" i="5"/>
  <c r="M15" i="5"/>
  <c r="M12" i="5"/>
  <c r="M6" i="5"/>
  <c r="M193" i="5" l="1"/>
  <c r="E8" i="7"/>
  <c r="E6" i="7"/>
  <c r="E41" i="7"/>
  <c r="AD11" i="1"/>
  <c r="E35" i="7"/>
  <c r="E10" i="7" s="1"/>
  <c r="E36" i="7"/>
  <c r="E37" i="7"/>
  <c r="E38" i="7"/>
  <c r="E39" i="7"/>
  <c r="E33" i="7"/>
  <c r="AD9" i="1"/>
  <c r="AD10" i="1"/>
  <c r="E40" i="7" s="1"/>
  <c r="AD7" i="1"/>
  <c r="AD6" i="1"/>
  <c r="AD5" i="1"/>
  <c r="AD4" i="1"/>
  <c r="E34" i="7" s="1"/>
  <c r="AD8" i="1"/>
  <c r="Y72" i="1"/>
  <c r="Y52" i="1"/>
  <c r="Y49" i="1"/>
  <c r="Y44" i="1"/>
  <c r="Y43" i="1"/>
  <c r="Y42" i="1"/>
  <c r="Y41" i="1"/>
  <c r="Y38" i="1"/>
  <c r="Y37" i="1"/>
  <c r="Y16" i="1"/>
  <c r="AD3" i="1"/>
  <c r="I12" i="8"/>
  <c r="I11" i="8"/>
  <c r="I10" i="8"/>
  <c r="E53" i="7" l="1"/>
  <c r="E9" i="7"/>
  <c r="E18" i="7"/>
  <c r="E19" i="7" s="1"/>
  <c r="M23" i="7"/>
  <c r="E12" i="7" l="1"/>
  <c r="I14" i="8"/>
  <c r="E3" i="8" s="1"/>
  <c r="I9" i="8"/>
  <c r="I7" i="8"/>
  <c r="I8" i="8"/>
  <c r="I6" i="8"/>
  <c r="I5" i="8"/>
  <c r="I4" i="8"/>
  <c r="I3" i="8"/>
  <c r="I2" i="8"/>
  <c r="AD22" i="1" l="1"/>
  <c r="AE11" i="1" s="1"/>
  <c r="D19" i="7"/>
  <c r="AB5" i="1"/>
  <c r="AA22" i="1"/>
  <c r="AA23" i="1" s="1"/>
  <c r="B26" i="7"/>
  <c r="B16" i="7"/>
  <c r="C26" i="7"/>
  <c r="AE5" i="1" l="1"/>
  <c r="AE8" i="1"/>
  <c r="AE3" i="1"/>
  <c r="AE4" i="1"/>
  <c r="AE6" i="1"/>
  <c r="AE7" i="1"/>
  <c r="AE10" i="1"/>
  <c r="AE9" i="1"/>
  <c r="R44" i="1"/>
  <c r="R41" i="1"/>
  <c r="AC10" i="1" s="1"/>
  <c r="R40" i="1"/>
  <c r="AC7" i="1" s="1"/>
  <c r="R36" i="1"/>
  <c r="AC6" i="1" s="1"/>
  <c r="R33" i="1"/>
  <c r="AC9" i="1" s="1"/>
  <c r="R30" i="1"/>
  <c r="AC5" i="1" s="1"/>
  <c r="R28" i="1"/>
  <c r="AC4" i="1" s="1"/>
  <c r="R14" i="1"/>
  <c r="AC3" i="1" s="1"/>
  <c r="AC22" i="1" l="1"/>
  <c r="AC23" i="1" s="1"/>
  <c r="AC24" i="1" l="1"/>
  <c r="D6" i="7"/>
  <c r="C6" i="7"/>
  <c r="B5" i="7"/>
  <c r="C12" i="7" l="1"/>
  <c r="G6" i="7" s="1"/>
  <c r="G6" i="8"/>
  <c r="G8" i="8"/>
  <c r="G10" i="8"/>
  <c r="G12" i="8"/>
  <c r="G3" i="8"/>
  <c r="G5" i="8"/>
  <c r="G7" i="8"/>
  <c r="G9" i="8"/>
  <c r="G11" i="8"/>
  <c r="G2" i="8"/>
  <c r="G4" i="8"/>
  <c r="G13" i="8"/>
  <c r="G4" i="7" l="1"/>
  <c r="G8" i="7"/>
  <c r="G3" i="7"/>
  <c r="G5" i="7"/>
  <c r="G7" i="7"/>
  <c r="G14" i="8"/>
  <c r="B3" i="8" s="1"/>
  <c r="B6" i="7" s="1"/>
  <c r="B12" i="7" s="1"/>
  <c r="F3" i="7" s="1"/>
  <c r="F4" i="7" l="1"/>
  <c r="F8" i="7"/>
  <c r="F6" i="7"/>
  <c r="F5" i="7"/>
  <c r="F7" i="7"/>
  <c r="F47" i="1" l="1"/>
  <c r="F43" i="1"/>
  <c r="F33" i="1"/>
  <c r="F6" i="1"/>
  <c r="D7" i="7"/>
  <c r="D12" i="7" s="1"/>
  <c r="I4" i="7" l="1"/>
  <c r="I5" i="7"/>
  <c r="I6" i="7"/>
  <c r="I8" i="7"/>
  <c r="I3" i="7"/>
  <c r="I7" i="7"/>
  <c r="I9" i="7"/>
  <c r="I10" i="7"/>
  <c r="H5" i="7"/>
  <c r="H10" i="7"/>
  <c r="H9" i="7"/>
  <c r="H8" i="7"/>
  <c r="H19" i="7"/>
  <c r="H7" i="7"/>
  <c r="H4" i="7" l="1"/>
  <c r="H3" i="7"/>
  <c r="H6" i="7"/>
  <c r="L41" i="1" l="1"/>
  <c r="AB7" i="1" s="1"/>
  <c r="L35" i="1"/>
  <c r="AB6" i="1" s="1"/>
  <c r="L30" i="1"/>
  <c r="AB4" i="1" s="1"/>
  <c r="L13" i="1"/>
  <c r="AB3" i="1" s="1"/>
  <c r="AB22" i="1" l="1"/>
  <c r="A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Belinda Caulfield</author>
  </authors>
  <commentList>
    <comment ref="Z8" authorId="0" shapeId="0" xr:uid="{A3D1B562-4D53-4083-9680-AFFD6ACBFFE8}">
      <text>
        <r>
          <rPr>
            <b/>
            <sz val="9"/>
            <color indexed="81"/>
            <rFont val="Tahoma"/>
            <family val="2"/>
          </rPr>
          <t xml:space="preserve">Not included in Construction as desks/chairs
</t>
        </r>
      </text>
    </comment>
    <comment ref="Z23" authorId="0" shapeId="0" xr:uid="{E5A3D955-E7F7-4068-B382-ACBB7A516DA8}">
      <text>
        <r>
          <rPr>
            <b/>
            <sz val="9"/>
            <color indexed="81"/>
            <rFont val="Tahoma"/>
            <family val="2"/>
          </rPr>
          <t xml:space="preserve">Estimated waste across 4 sites = multiply  yearly YM total by 2
</t>
        </r>
      </text>
    </comment>
    <comment ref="Z25" authorId="0" shapeId="0" xr:uid="{673B2791-CF2A-4503-8229-51DE42A5728E}">
      <text>
        <r>
          <rPr>
            <sz val="9"/>
            <color indexed="81"/>
            <rFont val="Tahoma"/>
            <family val="2"/>
          </rPr>
          <t xml:space="preserve">2022-23
</t>
        </r>
      </text>
    </comment>
    <comment ref="Q42" authorId="0" shapeId="0" xr:uid="{B23A1F97-879E-4A7E-9579-5F924709F556}">
      <text>
        <r>
          <rPr>
            <b/>
            <sz val="9"/>
            <color indexed="81"/>
            <rFont val="Tahoma"/>
            <family val="2"/>
          </rPr>
          <t>Belinda Caulfield:</t>
        </r>
        <r>
          <rPr>
            <sz val="9"/>
            <color indexed="81"/>
            <rFont val="Tahoma"/>
            <family val="2"/>
          </rPr>
          <t xml:space="preserve">
Not included as in Veolia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Belinda Caulfield</author>
  </authors>
  <commentList>
    <comment ref="E18" authorId="0" shapeId="0" xr:uid="{73BE866B-E03F-4333-9360-BF544B56FE1A}">
      <text>
        <r>
          <rPr>
            <sz val="12"/>
            <color theme="1"/>
            <rFont val="Calibri"/>
            <family val="2"/>
          </rPr>
          <t xml:space="preserve">Belinda Caulfield:
WEEE Note in file
</t>
        </r>
      </text>
    </comment>
    <comment ref="E42" authorId="0" shapeId="0" xr:uid="{D293A8D2-A94A-41CB-A41C-C23568C78D45}">
      <text>
        <r>
          <rPr>
            <b/>
            <sz val="9"/>
            <color indexed="81"/>
            <rFont val="Tahoma"/>
            <family val="2"/>
          </rPr>
          <t>Belinda Caulfield:</t>
        </r>
        <r>
          <rPr>
            <sz val="9"/>
            <color indexed="81"/>
            <rFont val="Tahoma"/>
            <family val="2"/>
          </rPr>
          <t xml:space="preserve">
Not inlcuded in total below, added to waste Veolia</t>
        </r>
      </text>
    </comment>
    <comment ref="E53" authorId="0" shapeId="0" xr:uid="{47B0C341-D0D8-4FB6-A4DA-EE61FBCA367B}">
      <text>
        <r>
          <rPr>
            <b/>
            <sz val="9"/>
            <color indexed="81"/>
            <rFont val="Tahoma"/>
            <family val="2"/>
          </rPr>
          <t>Belinda Caulfield:</t>
        </r>
        <r>
          <rPr>
            <sz val="9"/>
            <color indexed="81"/>
            <rFont val="Tahoma"/>
            <family val="2"/>
          </rPr>
          <t xml:space="preserve">
Total from all 4 Campuses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Belinda Caulfield</author>
  </authors>
  <commentList>
    <comment ref="A3" authorId="0" shapeId="0" xr:uid="{5E16D417-EE98-4B2D-9FC1-DB8AE4354FD8}">
      <text>
        <r>
          <rPr>
            <b/>
            <sz val="9"/>
            <color indexed="81"/>
            <rFont val="Tahoma"/>
            <family val="2"/>
          </rPr>
          <t>Tonnage report from Elite</t>
        </r>
      </text>
    </comment>
    <comment ref="B3" authorId="0" shapeId="0" xr:uid="{845D869D-37F4-47E5-8D8A-CC0F28E4FF85}">
      <text>
        <r>
          <rPr>
            <b/>
            <sz val="9"/>
            <color indexed="81"/>
            <rFont val="Tahoma"/>
            <family val="2"/>
          </rPr>
          <t>Belinda Caulfield:</t>
        </r>
        <r>
          <rPr>
            <sz val="9"/>
            <color indexed="81"/>
            <rFont val="Tahoma"/>
            <family val="2"/>
          </rPr>
          <t xml:space="preserve">
Info breakdown from Elite
</t>
        </r>
      </text>
    </comment>
    <comment ref="C3" authorId="0" shapeId="0" xr:uid="{8BFA86CF-A9AA-4A3F-B9F7-1331CC44E9B8}">
      <text>
        <r>
          <rPr>
            <b/>
            <sz val="9"/>
            <color indexed="81"/>
            <rFont val="Tahoma"/>
            <family val="2"/>
          </rPr>
          <t>Belinda Caulfield:</t>
        </r>
        <r>
          <rPr>
            <sz val="9"/>
            <color indexed="81"/>
            <rFont val="Tahoma"/>
            <family val="2"/>
          </rPr>
          <t xml:space="preserve">
info from Elite
</t>
        </r>
      </text>
    </comment>
    <comment ref="D3" authorId="0" shapeId="0" xr:uid="{8BC97F19-AC15-4EB5-BD54-F274697952AB}">
      <text>
        <r>
          <rPr>
            <b/>
            <sz val="9"/>
            <color indexed="81"/>
            <rFont val="Tahoma"/>
            <family val="2"/>
          </rPr>
          <t>Belinda Caulfield:</t>
        </r>
        <r>
          <rPr>
            <sz val="9"/>
            <color indexed="81"/>
            <rFont val="Tahoma"/>
            <family val="2"/>
          </rPr>
          <t xml:space="preserve">
Info from Elite
</t>
        </r>
      </text>
    </comment>
    <comment ref="E3" authorId="0" shapeId="0" xr:uid="{70000518-86F0-4A90-B322-BA9642ACDBBF}">
      <text>
        <r>
          <rPr>
            <b/>
            <sz val="9"/>
            <color indexed="81"/>
            <rFont val="Tahoma"/>
            <family val="2"/>
          </rPr>
          <t>Belinda Caulfield:</t>
        </r>
        <r>
          <rPr>
            <sz val="9"/>
            <color indexed="81"/>
            <rFont val="Tahoma"/>
            <family val="2"/>
          </rPr>
          <t xml:space="preserve">
Info from Tonnage Reports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Belinda Caulfield</author>
  </authors>
  <commentList>
    <comment ref="D1" authorId="0" shapeId="0" xr:uid="{0E0619A4-4A63-4910-85F7-8A4E8CECA7B9}">
      <text>
        <r>
          <rPr>
            <b/>
            <sz val="9"/>
            <color indexed="81"/>
            <rFont val="Tahoma"/>
            <family val="2"/>
          </rPr>
          <t xml:space="preserve">Source SN spreadsheet
</t>
        </r>
      </text>
    </comment>
  </commentList>
</comments>
</file>

<file path=xl/sharedStrings.xml><?xml version="1.0" encoding="utf-8"?>
<sst xmlns="http://schemas.openxmlformats.org/spreadsheetml/2006/main" count="1588" uniqueCount="269">
  <si>
    <t>2021-2022 Data Skips on YM</t>
  </si>
  <si>
    <t>2022-2023 Data Skips on YM</t>
  </si>
  <si>
    <t>2023-2024 Data Skips on YM</t>
  </si>
  <si>
    <t>2024-2025 Data Skips</t>
  </si>
  <si>
    <t>Company</t>
  </si>
  <si>
    <t>Size Yd</t>
  </si>
  <si>
    <t>Date</t>
  </si>
  <si>
    <t>Weight</t>
  </si>
  <si>
    <t>Type</t>
  </si>
  <si>
    <t xml:space="preserve">Tally </t>
  </si>
  <si>
    <t>Tally</t>
  </si>
  <si>
    <t>Location</t>
  </si>
  <si>
    <t>YM</t>
  </si>
  <si>
    <t>2021-22</t>
  </si>
  <si>
    <t>2022-23</t>
  </si>
  <si>
    <t>2023-24</t>
  </si>
  <si>
    <t>2024-25</t>
  </si>
  <si>
    <t>%</t>
  </si>
  <si>
    <t>Taff</t>
  </si>
  <si>
    <t>Brick</t>
  </si>
  <si>
    <t>Nantgarw</t>
  </si>
  <si>
    <t>Exchange</t>
  </si>
  <si>
    <t>Ystrad Mynach</t>
  </si>
  <si>
    <t>Green Waste</t>
  </si>
  <si>
    <t>brick</t>
  </si>
  <si>
    <t>MG Exchange</t>
  </si>
  <si>
    <t>Chair</t>
  </si>
  <si>
    <t>Plaster</t>
  </si>
  <si>
    <t>Commercial</t>
  </si>
  <si>
    <t>Metal</t>
  </si>
  <si>
    <t>Desks</t>
  </si>
  <si>
    <t>Scrap</t>
  </si>
  <si>
    <t>Exch</t>
  </si>
  <si>
    <t>Wood</t>
  </si>
  <si>
    <t>General Waste</t>
  </si>
  <si>
    <t xml:space="preserve">Taff </t>
  </si>
  <si>
    <t>exch</t>
  </si>
  <si>
    <t>Total</t>
  </si>
  <si>
    <t>x2 cross college</t>
  </si>
  <si>
    <t>Including Veolia</t>
  </si>
  <si>
    <t>Rhondda</t>
  </si>
  <si>
    <t>Egan</t>
  </si>
  <si>
    <t>Green</t>
  </si>
  <si>
    <t>MG exch</t>
  </si>
  <si>
    <t>Aberdare</t>
  </si>
  <si>
    <t>Glass</t>
  </si>
  <si>
    <t>plaster</t>
  </si>
  <si>
    <t>MG Exch</t>
  </si>
  <si>
    <t>Mixed Construction</t>
  </si>
  <si>
    <t>Mixed Metals</t>
  </si>
  <si>
    <t>Paper &amp; Card</t>
  </si>
  <si>
    <t>Plasterboard</t>
  </si>
  <si>
    <t>Spare</t>
  </si>
  <si>
    <t>Plastic</t>
  </si>
  <si>
    <t>scrap</t>
  </si>
  <si>
    <t>KG</t>
  </si>
  <si>
    <t>LTRS</t>
  </si>
  <si>
    <t>Waste type</t>
  </si>
  <si>
    <t>Chartwells</t>
  </si>
  <si>
    <t>Mixed Glass</t>
  </si>
  <si>
    <t>Food</t>
  </si>
  <si>
    <t>Commercial/Industrial Waste</t>
  </si>
  <si>
    <t>Mixed Paper (inc Elite)</t>
  </si>
  <si>
    <t>Mixed Recycling Cans/Plastics</t>
  </si>
  <si>
    <t>Wood (Avg Construction)</t>
  </si>
  <si>
    <t>Metal from list below</t>
  </si>
  <si>
    <t>Green Waste &amp; MG from list below</t>
  </si>
  <si>
    <t>WEEE</t>
  </si>
  <si>
    <t xml:space="preserve">Note: Not on the Net Zero Carbon Reporting SS </t>
  </si>
  <si>
    <t>Bulbs</t>
  </si>
  <si>
    <t>Other WEEE</t>
  </si>
  <si>
    <t>Total WEEE</t>
  </si>
  <si>
    <t>CO2 Offset</t>
  </si>
  <si>
    <t>KG weight</t>
  </si>
  <si>
    <t>Report 11071 2021 PCs</t>
  </si>
  <si>
    <t>Report 11131 2021 No Offset</t>
  </si>
  <si>
    <t>Report 11701 2022 PCs Laptops Monitors</t>
  </si>
  <si>
    <t>580 .8 kg | 0.88 g/ml</t>
  </si>
  <si>
    <t>Report 11955 2024 PCs Monitors</t>
  </si>
  <si>
    <t>Oil put as Commercial and industrial waste???</t>
  </si>
  <si>
    <t>Report 12128 2025 PCs Monitors Laptops</t>
  </si>
  <si>
    <t>2024-25 KG</t>
  </si>
  <si>
    <t>Batteries</t>
  </si>
  <si>
    <t>Data from Skip Waste AVG Construction sheet</t>
  </si>
  <si>
    <t>General waste</t>
  </si>
  <si>
    <t>Plastics</t>
  </si>
  <si>
    <t>Shredit</t>
  </si>
  <si>
    <t>Tonnage Report 2021-22</t>
  </si>
  <si>
    <t>2024-2025</t>
  </si>
  <si>
    <t>21-22</t>
  </si>
  <si>
    <t>22-23</t>
  </si>
  <si>
    <t>23-24</t>
  </si>
  <si>
    <t>24-25</t>
  </si>
  <si>
    <t>September</t>
  </si>
  <si>
    <t>October</t>
  </si>
  <si>
    <t>November</t>
  </si>
  <si>
    <t>December</t>
  </si>
  <si>
    <t>Jan</t>
  </si>
  <si>
    <t>Feb</t>
  </si>
  <si>
    <t>March</t>
  </si>
  <si>
    <t>April</t>
  </si>
  <si>
    <t>May</t>
  </si>
  <si>
    <t>June</t>
  </si>
  <si>
    <t>July</t>
  </si>
  <si>
    <t>August</t>
  </si>
  <si>
    <t>Egan Waste - Oil</t>
  </si>
  <si>
    <t>Tonne</t>
  </si>
  <si>
    <t>Campus</t>
  </si>
  <si>
    <t>Data from SN spreadsheet</t>
  </si>
  <si>
    <t>Serial</t>
  </si>
  <si>
    <t>2021-22 Charge</t>
  </si>
  <si>
    <t>Convert to KG</t>
  </si>
  <si>
    <t>2022-23 Charge</t>
  </si>
  <si>
    <t>2023-24 Charge</t>
  </si>
  <si>
    <t>2024-25 Charge</t>
  </si>
  <si>
    <t>2025 Campus</t>
  </si>
  <si>
    <t>AB-Air</t>
  </si>
  <si>
    <t>R32</t>
  </si>
  <si>
    <t>3.1kg</t>
  </si>
  <si>
    <t>0.70KG</t>
  </si>
  <si>
    <t>Air</t>
  </si>
  <si>
    <t>410A</t>
  </si>
  <si>
    <t>AB Air</t>
  </si>
  <si>
    <t>Not on list</t>
  </si>
  <si>
    <t>1.6KG</t>
  </si>
  <si>
    <t>Ref</t>
  </si>
  <si>
    <t>R134A</t>
  </si>
  <si>
    <t>R410a</t>
  </si>
  <si>
    <t>4kg</t>
  </si>
  <si>
    <t>16KG</t>
  </si>
  <si>
    <t>R290</t>
  </si>
  <si>
    <t>AB Ref</t>
  </si>
  <si>
    <t>R134a</t>
  </si>
  <si>
    <t>R291</t>
  </si>
  <si>
    <t>NG Air</t>
  </si>
  <si>
    <t>410a</t>
  </si>
  <si>
    <t>2.2kg</t>
  </si>
  <si>
    <t>R404A</t>
  </si>
  <si>
    <t>5kg</t>
  </si>
  <si>
    <t>18KG</t>
  </si>
  <si>
    <t>R407C</t>
  </si>
  <si>
    <t>NG Ref</t>
  </si>
  <si>
    <t>R410A</t>
  </si>
  <si>
    <t>Down as R290 = propane</t>
  </si>
  <si>
    <t>6kg</t>
  </si>
  <si>
    <t>19.5KG</t>
  </si>
  <si>
    <t>R449A</t>
  </si>
  <si>
    <t>R404a</t>
  </si>
  <si>
    <t>8kg</t>
  </si>
  <si>
    <t>R452A</t>
  </si>
  <si>
    <t>R449a</t>
  </si>
  <si>
    <t>AB-Ref</t>
  </si>
  <si>
    <t>0.225kg</t>
  </si>
  <si>
    <t>.315g</t>
  </si>
  <si>
    <t>2.5KG</t>
  </si>
  <si>
    <t>R600A</t>
  </si>
  <si>
    <t>R452a</t>
  </si>
  <si>
    <t>R600a</t>
  </si>
  <si>
    <t>RH Air</t>
  </si>
  <si>
    <t>820g</t>
  </si>
  <si>
    <t>1.6kg</t>
  </si>
  <si>
    <t>RH Ref</t>
  </si>
  <si>
    <t>2kg</t>
  </si>
  <si>
    <t>NG-Air</t>
  </si>
  <si>
    <t>23KG</t>
  </si>
  <si>
    <t>YM Air</t>
  </si>
  <si>
    <t>YM Ref</t>
  </si>
  <si>
    <t>134a</t>
  </si>
  <si>
    <t>HFC-134a</t>
  </si>
  <si>
    <t>24.6KG</t>
  </si>
  <si>
    <t>32kg</t>
  </si>
  <si>
    <t>3.5KG</t>
  </si>
  <si>
    <t>22.15KG</t>
  </si>
  <si>
    <t>23.6KG</t>
  </si>
  <si>
    <t>7.7KG</t>
  </si>
  <si>
    <t>8KG</t>
  </si>
  <si>
    <t>53.6kg</t>
  </si>
  <si>
    <t>44kg</t>
  </si>
  <si>
    <t>14.6kg</t>
  </si>
  <si>
    <t>.120kg</t>
  </si>
  <si>
    <t>.225kg</t>
  </si>
  <si>
    <t>3KG</t>
  </si>
  <si>
    <t>.227g</t>
  </si>
  <si>
    <t>.256g</t>
  </si>
  <si>
    <t>.260kg</t>
  </si>
  <si>
    <t>.290g</t>
  </si>
  <si>
    <t>.750g</t>
  </si>
  <si>
    <t>250g</t>
  </si>
  <si>
    <t>225g</t>
  </si>
  <si>
    <t>.0065g</t>
  </si>
  <si>
    <t>1.15kg</t>
  </si>
  <si>
    <t>.071g</t>
  </si>
  <si>
    <t>2.45kg</t>
  </si>
  <si>
    <t>2.6kg</t>
  </si>
  <si>
    <t>.077g</t>
  </si>
  <si>
    <t>.085g</t>
  </si>
  <si>
    <t>071g</t>
  </si>
  <si>
    <t>.71g</t>
  </si>
  <si>
    <t>2.3KG</t>
  </si>
  <si>
    <t>1.7kg</t>
  </si>
  <si>
    <t>1.2kg</t>
  </si>
  <si>
    <t>10.5Kg</t>
  </si>
  <si>
    <t>0.08kg</t>
  </si>
  <si>
    <t>10.6kg</t>
  </si>
  <si>
    <t>11.1kg</t>
  </si>
  <si>
    <t>4.3kg</t>
  </si>
  <si>
    <t>2.99kg</t>
  </si>
  <si>
    <t>14.5kg</t>
  </si>
  <si>
    <t>260g</t>
  </si>
  <si>
    <t>23.6kg</t>
  </si>
  <si>
    <t>10.6KG</t>
  </si>
  <si>
    <t>2.99KG</t>
  </si>
  <si>
    <t>0.85kg</t>
  </si>
  <si>
    <t>3kg</t>
  </si>
  <si>
    <t>3.6kg</t>
  </si>
  <si>
    <t>NG-Ref</t>
  </si>
  <si>
    <t>r134a</t>
  </si>
  <si>
    <t>2.8kg</t>
  </si>
  <si>
    <t>1kg</t>
  </si>
  <si>
    <t>1.4kg</t>
  </si>
  <si>
    <t>3.2kg</t>
  </si>
  <si>
    <t>2.4kg</t>
  </si>
  <si>
    <t>r290</t>
  </si>
  <si>
    <t>r404a</t>
  </si>
  <si>
    <t>.300kg</t>
  </si>
  <si>
    <t>2.7kg</t>
  </si>
  <si>
    <t>1.3kg</t>
  </si>
  <si>
    <t>.425g</t>
  </si>
  <si>
    <t>r452a</t>
  </si>
  <si>
    <t>2.56kg</t>
  </si>
  <si>
    <t>.500g</t>
  </si>
  <si>
    <t>1.5kg</t>
  </si>
  <si>
    <t>RH-Air</t>
  </si>
  <si>
    <t>4.2kg</t>
  </si>
  <si>
    <t>R407c</t>
  </si>
  <si>
    <t>11.4kg</t>
  </si>
  <si>
    <t>2.3kg</t>
  </si>
  <si>
    <t>2.75kg</t>
  </si>
  <si>
    <t>RH-Ref</t>
  </si>
  <si>
    <t>0.030KG</t>
  </si>
  <si>
    <t>0.074KG</t>
  </si>
  <si>
    <t>1.9kg</t>
  </si>
  <si>
    <t>0.055KG</t>
  </si>
  <si>
    <t>0.071kg</t>
  </si>
  <si>
    <t>0.136kg</t>
  </si>
  <si>
    <t>0.90kg</t>
  </si>
  <si>
    <t>0.035KG</t>
  </si>
  <si>
    <t>YM-Air</t>
  </si>
  <si>
    <t>1.35kg</t>
  </si>
  <si>
    <t>4.5kg</t>
  </si>
  <si>
    <t>3.5kg</t>
  </si>
  <si>
    <t>.80g</t>
  </si>
  <si>
    <t>YM-Ref</t>
  </si>
  <si>
    <t>.80kg</t>
  </si>
  <si>
    <t>30kg</t>
  </si>
  <si>
    <t>19kg</t>
  </si>
  <si>
    <t>27kg</t>
  </si>
  <si>
    <t>1.70kg</t>
  </si>
  <si>
    <t>.700g</t>
  </si>
  <si>
    <t>6.5kg</t>
  </si>
  <si>
    <t>.065g</t>
  </si>
  <si>
    <t>130g</t>
  </si>
  <si>
    <t>47g</t>
  </si>
  <si>
    <t>Paper Tonnage Report</t>
  </si>
  <si>
    <t>IT</t>
  </si>
  <si>
    <t>Hazardous Waste</t>
  </si>
  <si>
    <t>Cooking oil</t>
  </si>
  <si>
    <t>wood</t>
  </si>
  <si>
    <t xml:space="preserve"> Paper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</si>
</sst>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0"/>
  </numFmts>
  <fonts count="10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</cellStyleXfs>
  <cellXfs count="78">
    <xf numFmtId="0" fontId="0" fillId="0" borderId="0" xfId="0"/>
    <xf numFmtId="14" fontId="0" fillId="0" borderId="0" xfId="0" applyNumberFormat="1"/>
    <xf numFmtId="0" fontId="1" fillId="0" borderId="1" xfId="0" applyFont="1" applyBorder="1"/>
    <xf numFmtId="0" fontId="1" fillId="0" borderId="0" xfId="0" applyFont="1"/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/>
    <xf numFmtId="3" fontId="0" fillId="0" borderId="0" xfId="0" applyNumberFormat="1"/>
    <xf numFmtId="3" fontId="1" fillId="0" borderId="2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3" borderId="4" xfId="0" applyFill="1" applyBorder="1"/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3" borderId="9" xfId="0" applyFill="1" applyBorder="1"/>
    <xf numFmtId="0" fontId="4" fillId="0" borderId="10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/>
    <xf numFmtId="0" fontId="0" fillId="3" borderId="12" xfId="0" applyFill="1" applyBorder="1"/>
    <xf numFmtId="0" fontId="6" fillId="0" borderId="4" xfId="0" applyFont="1" applyBorder="1" applyAlignment="1">
      <alignment horizontal="center"/>
    </xf>
    <xf numFmtId="0" fontId="0" fillId="3" borderId="5" xfId="0" applyFill="1" applyBorder="1"/>
    <xf numFmtId="0" fontId="4" fillId="0" borderId="0" xfId="0" applyFont="1" applyAlignment="1">
      <alignment horizontal="center"/>
    </xf>
    <xf numFmtId="0" fontId="0" fillId="3" borderId="0" xfId="0" applyFill="1"/>
    <xf numFmtId="0" fontId="0" fillId="3" borderId="10" xfId="0" applyFill="1" applyBorder="1"/>
    <xf numFmtId="0" fontId="0" fillId="0" borderId="5" xfId="0" applyBorder="1"/>
    <xf numFmtId="0" fontId="0" fillId="4" borderId="0" xfId="0" applyFill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9" fontId="0" fillId="0" borderId="0" xfId="3" applyFont="1"/>
    <xf numFmtId="43" fontId="0" fillId="0" borderId="0" xfId="1" applyFont="1"/>
    <xf numFmtId="10" fontId="0" fillId="0" borderId="0" xfId="3" applyNumberFormat="1" applyFont="1"/>
    <xf numFmtId="0" fontId="0" fillId="0" borderId="21" xfId="0" applyBorder="1"/>
    <xf numFmtId="164" fontId="1" fillId="0" borderId="21" xfId="1" applyNumberFormat="1" applyFont="1" applyBorder="1"/>
    <xf numFmtId="10" fontId="1" fillId="0" borderId="0" xfId="3" applyNumberFormat="1" applyFont="1"/>
    <xf numFmtId="0" fontId="0" fillId="5" borderId="13" xfId="0" applyFill="1" applyBorder="1"/>
    <xf numFmtId="0" fontId="0" fillId="0" borderId="14" xfId="0" applyBorder="1"/>
    <xf numFmtId="0" fontId="1" fillId="5" borderId="16" xfId="0" applyFont="1" applyFill="1" applyBorder="1"/>
    <xf numFmtId="9" fontId="1" fillId="0" borderId="17" xfId="3" applyFont="1" applyBorder="1"/>
    <xf numFmtId="43" fontId="0" fillId="0" borderId="0" xfId="1" applyFont="1" applyBorder="1"/>
    <xf numFmtId="43" fontId="0" fillId="0" borderId="19" xfId="1" applyFont="1" applyBorder="1"/>
    <xf numFmtId="0" fontId="1" fillId="0" borderId="13" xfId="0" applyFont="1" applyBorder="1"/>
    <xf numFmtId="43" fontId="0" fillId="0" borderId="20" xfId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164" fontId="1" fillId="0" borderId="0" xfId="1" applyNumberFormat="1" applyFont="1" applyBorder="1"/>
    <xf numFmtId="9" fontId="1" fillId="0" borderId="0" xfId="3" applyFont="1" applyBorder="1"/>
    <xf numFmtId="10" fontId="1" fillId="0" borderId="0" xfId="3" applyNumberFormat="1" applyFont="1" applyBorder="1"/>
    <xf numFmtId="10" fontId="1" fillId="0" borderId="17" xfId="3" applyNumberFormat="1" applyFont="1" applyBorder="1"/>
    <xf numFmtId="164" fontId="1" fillId="5" borderId="0" xfId="1" applyNumberFormat="1" applyFont="1" applyFill="1" applyBorder="1"/>
    <xf numFmtId="0" fontId="1" fillId="5" borderId="0" xfId="0" applyFont="1" applyFill="1"/>
    <xf numFmtId="9" fontId="1" fillId="5" borderId="0" xfId="3" applyFont="1" applyFill="1" applyBorder="1"/>
    <xf numFmtId="10" fontId="1" fillId="5" borderId="0" xfId="3" applyNumberFormat="1" applyFont="1" applyFill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22" xfId="0" applyBorder="1"/>
    <xf numFmtId="9" fontId="7" fillId="0" borderId="0" xfId="3" applyFont="1"/>
    <xf numFmtId="0" fontId="1" fillId="0" borderId="21" xfId="0" applyFont="1" applyBorder="1"/>
    <xf numFmtId="0" fontId="0" fillId="6" borderId="0" xfId="0" applyFill="1"/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165" fontId="0" fillId="0" borderId="0" xfId="0" applyNumberFormat="1"/>
  </cellXfs>
  <cellStyles count="4">
    <cellStyle name="Comma" xfId="1" builtinId="3"/>
    <cellStyle name="Normal" xfId="0" builtinId="0"/>
    <cellStyle name="Normal 2" xfId="2" xr:uid="{A47D951E-143E-4411-B6E7-43B3135E9BF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eg.cymoedd.ac.uk\department$\Estates\NEW%20DRIVE%202022\5%20Environmental\NZC%20WG\net-zero-carbon-reporting-spreadsheet2024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Version Log"/>
      <sheetName val="Summary results"/>
      <sheetName val="Buildings &amp; stationary assets"/>
      <sheetName val="Fleet"/>
      <sheetName val="Business travel, commute, home"/>
      <sheetName val="Medical gases (NHS only)"/>
      <sheetName val="Supply chain"/>
      <sheetName val="Waste"/>
      <sheetName val="Land use &amp; agriculture"/>
      <sheetName val="Renewables"/>
      <sheetName val="Emission factors"/>
      <sheetName val="Land Emission Factors"/>
      <sheetName val="Benchmarking data"/>
      <sheetName val="Lists"/>
      <sheetName val="Errors"/>
      <sheetName val="Tot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3365-16A2-4C66-80A2-3D26F9C1C714}">
  <dimension ref="A1:AE77"/>
  <sheetViews>
    <sheetView tabSelected="1" topLeftCell="I1" workbookViewId="0">
      <pane ySplit="10" topLeftCell="A11" activePane="bottomLeft" state="frozen"/>
      <selection pane="bottomLeft" activeCell="AB14" sqref="AB14"/>
    </sheetView>
  </sheetViews>
  <sheetFormatPr defaultRowHeight="15.75" x14ac:dyDescent="0.25"/>
  <cols>
    <col min="3" max="3" width="10.375" bestFit="1" customWidth="1"/>
    <col min="6" max="6" width="9" style="33"/>
    <col min="9" max="10" width="10.375" bestFit="1" customWidth="1"/>
    <col min="12" max="12" width="9" style="33"/>
    <col min="15" max="15" width="10.375" bestFit="1" customWidth="1"/>
    <col min="18" max="18" width="9" style="33"/>
    <col min="21" max="21" width="10.625" bestFit="1" customWidth="1"/>
    <col min="24" max="24" width="13" bestFit="1" customWidth="1"/>
    <col min="25" max="25" width="9" style="33"/>
    <col min="26" max="26" width="14" bestFit="1" customWidth="1"/>
    <col min="28" max="28" width="15.5" customWidth="1"/>
  </cols>
  <sheetData>
    <row r="1" spans="1:31" x14ac:dyDescent="0.25">
      <c r="A1" t="s">
        <v>0</v>
      </c>
      <c r="G1" t="s">
        <v>1</v>
      </c>
      <c r="M1" t="s">
        <v>2</v>
      </c>
      <c r="S1" t="s">
        <v>3</v>
      </c>
    </row>
    <row r="2" spans="1:31" x14ac:dyDescent="0.25">
      <c r="A2" t="s">
        <v>4</v>
      </c>
      <c r="B2" t="s">
        <v>5</v>
      </c>
      <c r="C2" t="s">
        <v>6</v>
      </c>
      <c r="D2" t="s">
        <v>7</v>
      </c>
      <c r="E2" t="s">
        <v>8</v>
      </c>
      <c r="F2" s="33" t="s">
        <v>9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s="33" t="s">
        <v>10</v>
      </c>
      <c r="M2" t="s">
        <v>4</v>
      </c>
      <c r="N2" t="s">
        <v>5</v>
      </c>
      <c r="O2" t="s">
        <v>6</v>
      </c>
      <c r="P2" t="s">
        <v>7</v>
      </c>
      <c r="Q2" t="s">
        <v>8</v>
      </c>
      <c r="R2" s="33" t="s">
        <v>10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</row>
    <row r="3" spans="1:31" x14ac:dyDescent="0.25">
      <c r="A3" t="s">
        <v>18</v>
      </c>
      <c r="B3">
        <v>8</v>
      </c>
      <c r="C3" s="1">
        <v>44588</v>
      </c>
      <c r="D3">
        <v>4000</v>
      </c>
      <c r="E3" t="s">
        <v>19</v>
      </c>
      <c r="G3" t="s">
        <v>18</v>
      </c>
      <c r="H3">
        <v>8</v>
      </c>
      <c r="I3" s="1">
        <v>44810</v>
      </c>
      <c r="J3">
        <v>4000</v>
      </c>
      <c r="K3" t="s">
        <v>19</v>
      </c>
      <c r="N3">
        <v>8</v>
      </c>
      <c r="O3" s="1">
        <v>45117</v>
      </c>
      <c r="P3">
        <v>4000</v>
      </c>
      <c r="Q3" t="s">
        <v>19</v>
      </c>
      <c r="T3">
        <v>8</v>
      </c>
      <c r="U3" s="1">
        <v>45657</v>
      </c>
      <c r="V3">
        <v>4000</v>
      </c>
      <c r="W3" t="s">
        <v>19</v>
      </c>
      <c r="X3" t="s">
        <v>20</v>
      </c>
      <c r="Z3" t="s">
        <v>19</v>
      </c>
      <c r="AA3">
        <v>16000</v>
      </c>
      <c r="AB3">
        <f>L13</f>
        <v>44000</v>
      </c>
      <c r="AC3">
        <f>R14</f>
        <v>45000</v>
      </c>
      <c r="AD3">
        <f>Y16</f>
        <v>46000</v>
      </c>
      <c r="AE3" s="43">
        <f>AD3/$AD$22</f>
        <v>0.21247113163972287</v>
      </c>
    </row>
    <row r="4" spans="1:31" x14ac:dyDescent="0.25">
      <c r="A4" t="s">
        <v>18</v>
      </c>
      <c r="B4">
        <v>8</v>
      </c>
      <c r="C4" s="1">
        <v>44645</v>
      </c>
      <c r="D4">
        <v>4000</v>
      </c>
      <c r="E4" t="s">
        <v>19</v>
      </c>
      <c r="G4" t="s">
        <v>18</v>
      </c>
      <c r="H4">
        <v>8</v>
      </c>
      <c r="I4" s="1">
        <v>44848</v>
      </c>
      <c r="J4">
        <v>4000</v>
      </c>
      <c r="K4" t="s">
        <v>19</v>
      </c>
      <c r="N4">
        <v>8</v>
      </c>
      <c r="O4" s="1">
        <v>45162</v>
      </c>
      <c r="P4">
        <v>4000</v>
      </c>
      <c r="Q4" t="s">
        <v>19</v>
      </c>
      <c r="T4">
        <v>8</v>
      </c>
      <c r="U4" s="1">
        <v>45595</v>
      </c>
      <c r="V4">
        <v>4000</v>
      </c>
      <c r="W4" t="s">
        <v>19</v>
      </c>
      <c r="X4" t="s">
        <v>20</v>
      </c>
      <c r="Z4" t="s">
        <v>21</v>
      </c>
      <c r="AA4">
        <v>69000</v>
      </c>
      <c r="AB4">
        <f>L30</f>
        <v>57000</v>
      </c>
      <c r="AC4">
        <f>R28</f>
        <v>50000</v>
      </c>
      <c r="AD4">
        <f>Y32</f>
        <v>56000</v>
      </c>
      <c r="AE4" s="43">
        <f t="shared" ref="AE4:AE12" si="0">AD4/$AD$22</f>
        <v>0.25866050808314089</v>
      </c>
    </row>
    <row r="5" spans="1:31" x14ac:dyDescent="0.25">
      <c r="A5" t="s">
        <v>18</v>
      </c>
      <c r="B5">
        <v>8</v>
      </c>
      <c r="C5" s="1">
        <v>44706</v>
      </c>
      <c r="D5">
        <v>4000</v>
      </c>
      <c r="E5" t="s">
        <v>19</v>
      </c>
      <c r="G5" t="s">
        <v>18</v>
      </c>
      <c r="H5">
        <v>8</v>
      </c>
      <c r="I5" s="1">
        <v>44903</v>
      </c>
      <c r="J5">
        <v>4000</v>
      </c>
      <c r="K5" t="s">
        <v>19</v>
      </c>
      <c r="N5">
        <v>8</v>
      </c>
      <c r="O5" s="1">
        <v>45177</v>
      </c>
      <c r="P5">
        <v>3000</v>
      </c>
      <c r="Q5" t="s">
        <v>19</v>
      </c>
      <c r="T5">
        <v>8</v>
      </c>
      <c r="U5" s="1">
        <v>45679</v>
      </c>
      <c r="V5">
        <v>3000</v>
      </c>
      <c r="W5" t="s">
        <v>19</v>
      </c>
      <c r="X5" t="s">
        <v>22</v>
      </c>
      <c r="Z5" t="s">
        <v>23</v>
      </c>
      <c r="AA5">
        <v>3000</v>
      </c>
      <c r="AB5">
        <f>L31</f>
        <v>4000</v>
      </c>
      <c r="AC5">
        <f>R30</f>
        <v>6000</v>
      </c>
      <c r="AD5">
        <f>Y38</f>
        <v>6000</v>
      </c>
      <c r="AE5" s="43">
        <f t="shared" si="0"/>
        <v>2.771362586605081E-2</v>
      </c>
    </row>
    <row r="6" spans="1:31" x14ac:dyDescent="0.25">
      <c r="A6" t="s">
        <v>18</v>
      </c>
      <c r="B6">
        <v>8</v>
      </c>
      <c r="C6" s="1">
        <v>44738</v>
      </c>
      <c r="D6">
        <v>4000</v>
      </c>
      <c r="E6" t="s">
        <v>19</v>
      </c>
      <c r="F6" s="33">
        <f>SUM(D3:D6)</f>
        <v>16000</v>
      </c>
      <c r="G6" t="s">
        <v>18</v>
      </c>
      <c r="H6">
        <v>8</v>
      </c>
      <c r="I6" s="1">
        <v>44984</v>
      </c>
      <c r="J6">
        <v>4000</v>
      </c>
      <c r="K6" t="s">
        <v>24</v>
      </c>
      <c r="N6">
        <v>8</v>
      </c>
      <c r="O6" s="1">
        <v>45219</v>
      </c>
      <c r="P6">
        <v>4000</v>
      </c>
      <c r="Q6" t="s">
        <v>19</v>
      </c>
      <c r="T6">
        <v>8</v>
      </c>
      <c r="U6" s="1">
        <v>45691</v>
      </c>
      <c r="V6">
        <v>3000</v>
      </c>
      <c r="W6" t="s">
        <v>19</v>
      </c>
      <c r="X6" t="s">
        <v>22</v>
      </c>
      <c r="Z6" t="s">
        <v>25</v>
      </c>
      <c r="AA6">
        <v>40000</v>
      </c>
      <c r="AB6">
        <f>L35</f>
        <v>16000</v>
      </c>
      <c r="AC6">
        <f>R36</f>
        <v>11000</v>
      </c>
      <c r="AD6">
        <f>Y41</f>
        <v>8000</v>
      </c>
      <c r="AE6" s="43">
        <f t="shared" si="0"/>
        <v>3.695150115473441E-2</v>
      </c>
    </row>
    <row r="7" spans="1:31" x14ac:dyDescent="0.25">
      <c r="A7" t="s">
        <v>18</v>
      </c>
      <c r="B7">
        <v>12</v>
      </c>
      <c r="C7" s="1">
        <v>44459</v>
      </c>
      <c r="D7">
        <v>1000</v>
      </c>
      <c r="E7" t="s">
        <v>26</v>
      </c>
      <c r="G7" t="s">
        <v>18</v>
      </c>
      <c r="H7">
        <v>8</v>
      </c>
      <c r="I7" s="1">
        <v>45027</v>
      </c>
      <c r="J7">
        <v>4000</v>
      </c>
      <c r="K7" t="s">
        <v>19</v>
      </c>
      <c r="N7">
        <v>8</v>
      </c>
      <c r="O7" s="1">
        <v>45300</v>
      </c>
      <c r="P7">
        <v>4000</v>
      </c>
      <c r="Q7" t="s">
        <v>19</v>
      </c>
      <c r="T7">
        <v>8</v>
      </c>
      <c r="U7" s="1">
        <v>45714</v>
      </c>
      <c r="V7">
        <v>4000</v>
      </c>
      <c r="W7" t="s">
        <v>19</v>
      </c>
      <c r="X7" t="s">
        <v>22</v>
      </c>
      <c r="Z7" t="s">
        <v>27</v>
      </c>
      <c r="AA7">
        <v>16000</v>
      </c>
      <c r="AB7">
        <f>L41</f>
        <v>24000</v>
      </c>
      <c r="AC7">
        <f>R40</f>
        <v>15000</v>
      </c>
      <c r="AD7">
        <f>Y49</f>
        <v>20000</v>
      </c>
      <c r="AE7" s="43">
        <f t="shared" si="0"/>
        <v>9.237875288683603E-2</v>
      </c>
    </row>
    <row r="8" spans="1:31" x14ac:dyDescent="0.25">
      <c r="A8" t="s">
        <v>18</v>
      </c>
      <c r="B8">
        <v>8</v>
      </c>
      <c r="C8" s="1">
        <v>44459</v>
      </c>
      <c r="D8">
        <v>1000</v>
      </c>
      <c r="E8" t="s">
        <v>26</v>
      </c>
      <c r="G8" t="s">
        <v>18</v>
      </c>
      <c r="H8">
        <v>8</v>
      </c>
      <c r="I8" s="1">
        <v>45049</v>
      </c>
      <c r="J8">
        <v>4000</v>
      </c>
      <c r="K8" t="s">
        <v>24</v>
      </c>
      <c r="N8">
        <v>8</v>
      </c>
      <c r="O8" s="1">
        <v>45331</v>
      </c>
      <c r="P8">
        <v>4000</v>
      </c>
      <c r="Q8" t="s">
        <v>19</v>
      </c>
      <c r="T8">
        <v>8</v>
      </c>
      <c r="U8" s="1">
        <v>45729</v>
      </c>
      <c r="V8">
        <v>3000</v>
      </c>
      <c r="W8" t="s">
        <v>19</v>
      </c>
      <c r="X8" t="s">
        <v>22</v>
      </c>
      <c r="Z8" t="s">
        <v>28</v>
      </c>
      <c r="AA8">
        <v>4000</v>
      </c>
      <c r="AB8">
        <v>0</v>
      </c>
      <c r="AC8">
        <v>0</v>
      </c>
      <c r="AD8">
        <f t="shared" ref="AD8" si="1">Y21</f>
        <v>0</v>
      </c>
      <c r="AE8" s="43">
        <f t="shared" si="0"/>
        <v>0</v>
      </c>
    </row>
    <row r="9" spans="1:31" x14ac:dyDescent="0.25">
      <c r="A9" t="s">
        <v>18</v>
      </c>
      <c r="B9">
        <v>8</v>
      </c>
      <c r="C9" s="1">
        <v>44459</v>
      </c>
      <c r="D9">
        <v>1000</v>
      </c>
      <c r="E9" t="s">
        <v>26</v>
      </c>
      <c r="G9" t="s">
        <v>18</v>
      </c>
      <c r="H9">
        <v>8</v>
      </c>
      <c r="I9" s="1">
        <v>45070</v>
      </c>
      <c r="J9">
        <v>4000</v>
      </c>
      <c r="K9" t="s">
        <v>24</v>
      </c>
      <c r="N9">
        <v>8</v>
      </c>
      <c r="O9" s="1">
        <v>45373</v>
      </c>
      <c r="P9">
        <v>4000</v>
      </c>
      <c r="Q9" t="s">
        <v>19</v>
      </c>
      <c r="T9">
        <v>8</v>
      </c>
      <c r="U9" s="1">
        <v>45713</v>
      </c>
      <c r="V9">
        <v>3000</v>
      </c>
      <c r="W9" t="s">
        <v>19</v>
      </c>
      <c r="X9" t="s">
        <v>22</v>
      </c>
      <c r="Z9" t="s">
        <v>29</v>
      </c>
      <c r="AA9">
        <v>0</v>
      </c>
      <c r="AB9">
        <v>0</v>
      </c>
      <c r="AC9">
        <f>R33</f>
        <v>12000</v>
      </c>
      <c r="AD9">
        <f>Y43</f>
        <v>3000</v>
      </c>
      <c r="AE9" s="43">
        <f t="shared" si="0"/>
        <v>1.3856812933025405E-2</v>
      </c>
    </row>
    <row r="10" spans="1:31" x14ac:dyDescent="0.25">
      <c r="A10" t="s">
        <v>18</v>
      </c>
      <c r="B10">
        <v>8</v>
      </c>
      <c r="C10" s="1">
        <v>44623</v>
      </c>
      <c r="D10">
        <v>1000</v>
      </c>
      <c r="E10" t="s">
        <v>30</v>
      </c>
      <c r="F10" s="33">
        <v>4000</v>
      </c>
      <c r="G10" t="s">
        <v>18</v>
      </c>
      <c r="H10">
        <v>8</v>
      </c>
      <c r="I10" s="1">
        <v>45085</v>
      </c>
      <c r="J10">
        <v>4000</v>
      </c>
      <c r="K10" t="s">
        <v>19</v>
      </c>
      <c r="N10">
        <v>8</v>
      </c>
      <c r="O10" s="1">
        <v>45401</v>
      </c>
      <c r="P10">
        <v>3000</v>
      </c>
      <c r="Q10" t="s">
        <v>19</v>
      </c>
      <c r="T10">
        <v>8</v>
      </c>
      <c r="U10" s="1">
        <v>45762</v>
      </c>
      <c r="V10">
        <v>4000</v>
      </c>
      <c r="W10" t="s">
        <v>19</v>
      </c>
      <c r="X10" t="s">
        <v>22</v>
      </c>
      <c r="Z10" t="s">
        <v>31</v>
      </c>
      <c r="AA10">
        <v>0</v>
      </c>
      <c r="AB10">
        <v>0</v>
      </c>
      <c r="AC10">
        <f>R41</f>
        <v>4000</v>
      </c>
      <c r="AD10">
        <f>Y69</f>
        <v>58500</v>
      </c>
      <c r="AE10" s="43">
        <f t="shared" si="0"/>
        <v>0.2702078521939954</v>
      </c>
    </row>
    <row r="11" spans="1:31" x14ac:dyDescent="0.25">
      <c r="A11" t="s">
        <v>18</v>
      </c>
      <c r="B11">
        <v>12</v>
      </c>
      <c r="C11" s="1">
        <v>44428</v>
      </c>
      <c r="D11">
        <v>3000</v>
      </c>
      <c r="E11" t="s">
        <v>32</v>
      </c>
      <c r="G11" t="s">
        <v>18</v>
      </c>
      <c r="H11">
        <v>8</v>
      </c>
      <c r="I11" s="1">
        <v>45096</v>
      </c>
      <c r="J11">
        <v>4000</v>
      </c>
      <c r="K11" t="s">
        <v>19</v>
      </c>
      <c r="N11">
        <v>8</v>
      </c>
      <c r="O11" s="1">
        <v>45433</v>
      </c>
      <c r="P11">
        <v>3000</v>
      </c>
      <c r="Q11" t="s">
        <v>19</v>
      </c>
      <c r="T11">
        <v>8</v>
      </c>
      <c r="U11" s="1">
        <v>45791</v>
      </c>
      <c r="V11">
        <v>3000</v>
      </c>
      <c r="W11" t="s">
        <v>19</v>
      </c>
      <c r="X11" t="s">
        <v>22</v>
      </c>
      <c r="Z11" t="s">
        <v>33</v>
      </c>
      <c r="AD11">
        <f>Y72</f>
        <v>10000</v>
      </c>
      <c r="AE11" s="43">
        <f t="shared" si="0"/>
        <v>4.6189376443418015E-2</v>
      </c>
    </row>
    <row r="12" spans="1:31" x14ac:dyDescent="0.25">
      <c r="A12" t="s">
        <v>18</v>
      </c>
      <c r="B12">
        <v>12</v>
      </c>
      <c r="C12" s="1">
        <v>45537</v>
      </c>
      <c r="D12">
        <v>3000</v>
      </c>
      <c r="E12" t="s">
        <v>32</v>
      </c>
      <c r="G12" t="s">
        <v>18</v>
      </c>
      <c r="H12">
        <v>8</v>
      </c>
      <c r="I12" s="1">
        <v>45107</v>
      </c>
      <c r="J12">
        <v>4000</v>
      </c>
      <c r="K12" t="s">
        <v>19</v>
      </c>
      <c r="N12">
        <v>8</v>
      </c>
      <c r="O12" s="1">
        <v>45453</v>
      </c>
      <c r="P12">
        <v>4000</v>
      </c>
      <c r="Q12" t="s">
        <v>19</v>
      </c>
      <c r="T12">
        <v>8</v>
      </c>
      <c r="U12" s="1">
        <v>45800</v>
      </c>
      <c r="V12">
        <v>3000</v>
      </c>
      <c r="W12" t="s">
        <v>19</v>
      </c>
      <c r="X12" t="s">
        <v>22</v>
      </c>
      <c r="Z12" t="s">
        <v>34</v>
      </c>
      <c r="AD12">
        <f>Y34</f>
        <v>9000</v>
      </c>
      <c r="AE12" s="43">
        <f t="shared" si="0"/>
        <v>4.1570438799076209E-2</v>
      </c>
    </row>
    <row r="13" spans="1:31" x14ac:dyDescent="0.25">
      <c r="A13" t="s">
        <v>18</v>
      </c>
      <c r="B13">
        <v>12</v>
      </c>
      <c r="C13" s="1">
        <v>44447</v>
      </c>
      <c r="D13">
        <v>3000</v>
      </c>
      <c r="E13" t="s">
        <v>32</v>
      </c>
      <c r="G13" t="s">
        <v>18</v>
      </c>
      <c r="H13">
        <v>8</v>
      </c>
      <c r="I13" s="1">
        <v>45117</v>
      </c>
      <c r="J13">
        <v>4000</v>
      </c>
      <c r="K13" t="s">
        <v>24</v>
      </c>
      <c r="L13" s="33">
        <f>SUM(J3:J13)</f>
        <v>44000</v>
      </c>
      <c r="N13">
        <v>8</v>
      </c>
      <c r="O13" s="1">
        <v>45464</v>
      </c>
      <c r="P13">
        <v>4000</v>
      </c>
      <c r="Q13" t="s">
        <v>19</v>
      </c>
      <c r="T13">
        <v>8</v>
      </c>
      <c r="U13" s="1">
        <v>45817</v>
      </c>
      <c r="V13">
        <v>3000</v>
      </c>
      <c r="W13" t="s">
        <v>19</v>
      </c>
      <c r="X13" t="s">
        <v>22</v>
      </c>
      <c r="AE13" s="43"/>
    </row>
    <row r="14" spans="1:31" x14ac:dyDescent="0.25">
      <c r="A14" t="s">
        <v>18</v>
      </c>
      <c r="B14">
        <v>12</v>
      </c>
      <c r="C14" s="1">
        <v>44455</v>
      </c>
      <c r="D14">
        <v>3000</v>
      </c>
      <c r="E14" t="s">
        <v>32</v>
      </c>
      <c r="G14" t="s">
        <v>18</v>
      </c>
      <c r="H14">
        <v>12</v>
      </c>
      <c r="I14" s="1">
        <v>44827</v>
      </c>
      <c r="J14">
        <v>3000</v>
      </c>
      <c r="K14" t="s">
        <v>32</v>
      </c>
      <c r="N14">
        <v>8</v>
      </c>
      <c r="O14" s="1">
        <v>45481</v>
      </c>
      <c r="P14">
        <v>4000</v>
      </c>
      <c r="Q14" t="s">
        <v>19</v>
      </c>
      <c r="R14" s="33">
        <f>SUM(P3:P14)</f>
        <v>45000</v>
      </c>
      <c r="T14">
        <v>8</v>
      </c>
      <c r="U14" s="1">
        <v>45833</v>
      </c>
      <c r="V14">
        <v>3000</v>
      </c>
      <c r="W14" t="s">
        <v>19</v>
      </c>
      <c r="X14" t="s">
        <v>22</v>
      </c>
      <c r="AE14" s="43"/>
    </row>
    <row r="15" spans="1:31" x14ac:dyDescent="0.25">
      <c r="A15" t="s">
        <v>35</v>
      </c>
      <c r="B15">
        <v>12</v>
      </c>
      <c r="C15" s="1">
        <v>44456</v>
      </c>
      <c r="D15">
        <v>3000</v>
      </c>
      <c r="E15" t="s">
        <v>32</v>
      </c>
      <c r="G15" t="s">
        <v>18</v>
      </c>
      <c r="H15">
        <v>12</v>
      </c>
      <c r="I15" s="1">
        <v>44853</v>
      </c>
      <c r="J15">
        <v>3000</v>
      </c>
      <c r="K15" t="s">
        <v>32</v>
      </c>
      <c r="N15">
        <v>12</v>
      </c>
      <c r="O15" s="1">
        <v>45121</v>
      </c>
      <c r="P15">
        <v>3000</v>
      </c>
      <c r="Q15" t="s">
        <v>21</v>
      </c>
      <c r="T15">
        <v>8</v>
      </c>
      <c r="U15" s="1">
        <v>45838</v>
      </c>
      <c r="V15">
        <v>3000</v>
      </c>
      <c r="W15" t="s">
        <v>19</v>
      </c>
      <c r="X15" t="s">
        <v>22</v>
      </c>
      <c r="AE15" s="43"/>
    </row>
    <row r="16" spans="1:31" x14ac:dyDescent="0.25">
      <c r="A16" t="s">
        <v>18</v>
      </c>
      <c r="B16">
        <v>8</v>
      </c>
      <c r="C16" s="1">
        <v>44456</v>
      </c>
      <c r="D16">
        <v>3000</v>
      </c>
      <c r="E16" t="s">
        <v>32</v>
      </c>
      <c r="G16" t="s">
        <v>18</v>
      </c>
      <c r="H16">
        <v>12</v>
      </c>
      <c r="I16" s="1">
        <v>44872</v>
      </c>
      <c r="J16">
        <v>3000</v>
      </c>
      <c r="K16" t="s">
        <v>32</v>
      </c>
      <c r="N16">
        <v>12</v>
      </c>
      <c r="O16" s="1">
        <v>45131</v>
      </c>
      <c r="P16">
        <v>4000</v>
      </c>
      <c r="Q16" t="s">
        <v>21</v>
      </c>
      <c r="T16">
        <v>8</v>
      </c>
      <c r="U16" s="1">
        <v>45849</v>
      </c>
      <c r="V16">
        <v>3000</v>
      </c>
      <c r="W16" t="s">
        <v>19</v>
      </c>
      <c r="X16" t="s">
        <v>22</v>
      </c>
      <c r="Y16" s="33">
        <f>SUM(V3:V16)</f>
        <v>46000</v>
      </c>
      <c r="AE16" s="43"/>
    </row>
    <row r="17" spans="1:31" x14ac:dyDescent="0.25">
      <c r="A17" t="s">
        <v>18</v>
      </c>
      <c r="B17">
        <v>8</v>
      </c>
      <c r="C17" s="1">
        <v>44456</v>
      </c>
      <c r="D17">
        <v>3000</v>
      </c>
      <c r="E17" t="s">
        <v>32</v>
      </c>
      <c r="G17" t="s">
        <v>18</v>
      </c>
      <c r="H17">
        <v>12</v>
      </c>
      <c r="I17" s="1">
        <v>44896</v>
      </c>
      <c r="J17">
        <v>3000</v>
      </c>
      <c r="K17" t="s">
        <v>32</v>
      </c>
      <c r="N17">
        <v>12</v>
      </c>
      <c r="O17" s="1">
        <v>45155</v>
      </c>
      <c r="P17">
        <v>3000</v>
      </c>
      <c r="Q17" t="s">
        <v>21</v>
      </c>
      <c r="T17">
        <v>12</v>
      </c>
      <c r="U17" s="1">
        <v>45687</v>
      </c>
      <c r="V17">
        <v>3000</v>
      </c>
      <c r="W17" t="s">
        <v>21</v>
      </c>
      <c r="X17" t="s">
        <v>22</v>
      </c>
      <c r="AE17" s="43"/>
    </row>
    <row r="18" spans="1:31" x14ac:dyDescent="0.25">
      <c r="A18" t="s">
        <v>18</v>
      </c>
      <c r="B18">
        <v>12</v>
      </c>
      <c r="C18" s="1">
        <v>44459</v>
      </c>
      <c r="D18">
        <v>3000</v>
      </c>
      <c r="E18" t="s">
        <v>32</v>
      </c>
      <c r="G18" t="s">
        <v>18</v>
      </c>
      <c r="H18">
        <v>8</v>
      </c>
      <c r="I18" s="1">
        <v>44958</v>
      </c>
      <c r="J18">
        <v>3000</v>
      </c>
      <c r="K18" t="s">
        <v>36</v>
      </c>
      <c r="N18">
        <v>12</v>
      </c>
      <c r="O18" s="1">
        <v>45177</v>
      </c>
      <c r="P18">
        <v>4000</v>
      </c>
      <c r="Q18" t="s">
        <v>21</v>
      </c>
      <c r="T18">
        <v>12</v>
      </c>
      <c r="U18" s="1">
        <v>45694</v>
      </c>
      <c r="V18">
        <v>3000</v>
      </c>
      <c r="W18" t="s">
        <v>21</v>
      </c>
      <c r="X18" t="s">
        <v>22</v>
      </c>
    </row>
    <row r="19" spans="1:31" x14ac:dyDescent="0.25">
      <c r="A19" t="s">
        <v>18</v>
      </c>
      <c r="B19">
        <v>12</v>
      </c>
      <c r="C19" s="1">
        <v>44484</v>
      </c>
      <c r="D19">
        <v>3000</v>
      </c>
      <c r="E19" t="s">
        <v>32</v>
      </c>
      <c r="G19" t="s">
        <v>18</v>
      </c>
      <c r="H19">
        <v>12</v>
      </c>
      <c r="I19" s="1">
        <v>44966</v>
      </c>
      <c r="J19">
        <v>4000</v>
      </c>
      <c r="K19" t="s">
        <v>36</v>
      </c>
      <c r="N19">
        <v>12</v>
      </c>
      <c r="O19" s="1">
        <v>45229</v>
      </c>
      <c r="P19">
        <v>4000</v>
      </c>
      <c r="Q19" t="s">
        <v>21</v>
      </c>
      <c r="T19">
        <v>12</v>
      </c>
      <c r="U19" s="1">
        <v>45734</v>
      </c>
      <c r="V19">
        <v>4000</v>
      </c>
      <c r="W19" t="s">
        <v>21</v>
      </c>
      <c r="X19" t="s">
        <v>22</v>
      </c>
    </row>
    <row r="20" spans="1:31" x14ac:dyDescent="0.25">
      <c r="A20" t="s">
        <v>18</v>
      </c>
      <c r="B20">
        <v>12</v>
      </c>
      <c r="C20" s="1">
        <v>44487</v>
      </c>
      <c r="D20">
        <v>3000</v>
      </c>
      <c r="E20" t="s">
        <v>32</v>
      </c>
      <c r="G20" t="s">
        <v>18</v>
      </c>
      <c r="H20">
        <v>12</v>
      </c>
      <c r="I20" s="1">
        <v>44984</v>
      </c>
      <c r="J20">
        <v>4000</v>
      </c>
      <c r="K20" t="s">
        <v>36</v>
      </c>
      <c r="N20">
        <v>12</v>
      </c>
      <c r="O20" s="1">
        <v>45257</v>
      </c>
      <c r="P20">
        <v>3000</v>
      </c>
      <c r="Q20" t="s">
        <v>21</v>
      </c>
      <c r="T20">
        <v>12</v>
      </c>
      <c r="U20" s="1">
        <v>45762</v>
      </c>
      <c r="V20">
        <v>4000</v>
      </c>
      <c r="W20" t="s">
        <v>21</v>
      </c>
      <c r="X20" t="s">
        <v>22</v>
      </c>
    </row>
    <row r="21" spans="1:31" x14ac:dyDescent="0.25">
      <c r="A21" t="s">
        <v>18</v>
      </c>
      <c r="B21">
        <v>12</v>
      </c>
      <c r="C21" s="1">
        <v>44531</v>
      </c>
      <c r="D21">
        <v>3000</v>
      </c>
      <c r="E21" t="s">
        <v>32</v>
      </c>
      <c r="G21" t="s">
        <v>18</v>
      </c>
      <c r="H21">
        <v>12</v>
      </c>
      <c r="I21" s="1">
        <v>45000</v>
      </c>
      <c r="J21">
        <v>3000</v>
      </c>
      <c r="K21" t="s">
        <v>36</v>
      </c>
      <c r="N21">
        <v>12</v>
      </c>
      <c r="O21" s="1">
        <v>45301</v>
      </c>
      <c r="P21">
        <v>3000</v>
      </c>
      <c r="Q21" t="s">
        <v>21</v>
      </c>
      <c r="T21">
        <v>12</v>
      </c>
      <c r="U21" s="1">
        <v>45798</v>
      </c>
      <c r="V21">
        <v>3000</v>
      </c>
      <c r="W21" t="s">
        <v>21</v>
      </c>
      <c r="X21" t="s">
        <v>22</v>
      </c>
    </row>
    <row r="22" spans="1:31" x14ac:dyDescent="0.25">
      <c r="A22" t="s">
        <v>18</v>
      </c>
      <c r="B22">
        <v>12</v>
      </c>
      <c r="C22" s="1">
        <v>44545</v>
      </c>
      <c r="D22">
        <v>3000</v>
      </c>
      <c r="E22" t="s">
        <v>32</v>
      </c>
      <c r="G22" t="s">
        <v>18</v>
      </c>
      <c r="H22">
        <v>8</v>
      </c>
      <c r="I22" s="1">
        <v>45000</v>
      </c>
      <c r="J22">
        <v>4000</v>
      </c>
      <c r="K22" t="s">
        <v>36</v>
      </c>
      <c r="N22">
        <v>12</v>
      </c>
      <c r="O22" s="1">
        <v>45337</v>
      </c>
      <c r="P22">
        <v>4000</v>
      </c>
      <c r="Q22" t="s">
        <v>21</v>
      </c>
      <c r="T22">
        <v>12</v>
      </c>
      <c r="U22" s="1">
        <v>45833</v>
      </c>
      <c r="V22">
        <v>3000</v>
      </c>
      <c r="W22" t="s">
        <v>21</v>
      </c>
      <c r="X22" t="s">
        <v>22</v>
      </c>
      <c r="Z22" s="3" t="s">
        <v>37</v>
      </c>
      <c r="AA22" s="3">
        <f>SUM(AA3:AA12)</f>
        <v>148000</v>
      </c>
      <c r="AB22" s="3">
        <f>SUM(AB3:AB12)</f>
        <v>145000</v>
      </c>
      <c r="AC22" s="3">
        <f>SUM(AC3:AC12)</f>
        <v>143000</v>
      </c>
      <c r="AD22" s="3">
        <f>SUM(AD3:AD21)</f>
        <v>216500</v>
      </c>
    </row>
    <row r="23" spans="1:31" x14ac:dyDescent="0.25">
      <c r="A23" t="s">
        <v>18</v>
      </c>
      <c r="B23">
        <v>12</v>
      </c>
      <c r="C23" s="1">
        <v>44214</v>
      </c>
      <c r="D23">
        <v>3000</v>
      </c>
      <c r="E23" t="s">
        <v>32</v>
      </c>
      <c r="G23" t="s">
        <v>18</v>
      </c>
      <c r="H23">
        <v>12</v>
      </c>
      <c r="I23" s="1">
        <v>45027</v>
      </c>
      <c r="J23">
        <v>3000</v>
      </c>
      <c r="K23" t="s">
        <v>36</v>
      </c>
      <c r="N23">
        <v>12</v>
      </c>
      <c r="O23" s="1">
        <v>45376</v>
      </c>
      <c r="P23">
        <v>4000</v>
      </c>
      <c r="Q23" t="s">
        <v>21</v>
      </c>
      <c r="T23">
        <v>12</v>
      </c>
      <c r="U23" s="1">
        <v>45838</v>
      </c>
      <c r="V23">
        <v>3000</v>
      </c>
      <c r="W23" t="s">
        <v>21</v>
      </c>
      <c r="X23" t="s">
        <v>22</v>
      </c>
      <c r="Z23" t="s">
        <v>38</v>
      </c>
      <c r="AA23" s="10">
        <f>AA22*2</f>
        <v>296000</v>
      </c>
      <c r="AB23" s="10">
        <f>AB22*2</f>
        <v>290000</v>
      </c>
      <c r="AC23" s="10">
        <f>AC22*2</f>
        <v>286000</v>
      </c>
      <c r="AD23" s="10">
        <v>0</v>
      </c>
    </row>
    <row r="24" spans="1:31" x14ac:dyDescent="0.25">
      <c r="A24" t="s">
        <v>18</v>
      </c>
      <c r="B24">
        <v>12</v>
      </c>
      <c r="C24" s="1">
        <v>44599</v>
      </c>
      <c r="D24">
        <v>3000</v>
      </c>
      <c r="E24" t="s">
        <v>32</v>
      </c>
      <c r="G24" t="s">
        <v>18</v>
      </c>
      <c r="H24">
        <v>8</v>
      </c>
      <c r="I24" s="1">
        <v>45033</v>
      </c>
      <c r="J24">
        <v>3000</v>
      </c>
      <c r="K24" t="s">
        <v>36</v>
      </c>
      <c r="N24">
        <v>12</v>
      </c>
      <c r="O24" s="1">
        <v>45428</v>
      </c>
      <c r="P24">
        <v>4000</v>
      </c>
      <c r="Q24" t="s">
        <v>21</v>
      </c>
      <c r="T24">
        <v>12</v>
      </c>
      <c r="U24" s="1">
        <v>45849</v>
      </c>
      <c r="V24">
        <v>3000</v>
      </c>
      <c r="W24" t="s">
        <v>21</v>
      </c>
      <c r="X24" t="s">
        <v>22</v>
      </c>
      <c r="AB24" t="s">
        <v>39</v>
      </c>
      <c r="AC24" s="9">
        <f>AC23+6420</f>
        <v>292420</v>
      </c>
    </row>
    <row r="25" spans="1:31" x14ac:dyDescent="0.25">
      <c r="A25" t="s">
        <v>18</v>
      </c>
      <c r="B25">
        <v>12</v>
      </c>
      <c r="C25" s="1">
        <v>44620</v>
      </c>
      <c r="D25">
        <v>3000</v>
      </c>
      <c r="E25" t="s">
        <v>32</v>
      </c>
      <c r="G25" t="s">
        <v>18</v>
      </c>
      <c r="H25">
        <v>8</v>
      </c>
      <c r="I25" s="1">
        <v>45040</v>
      </c>
      <c r="J25">
        <v>4000</v>
      </c>
      <c r="K25" t="s">
        <v>36</v>
      </c>
      <c r="N25">
        <v>12</v>
      </c>
      <c r="O25" s="1">
        <v>45457</v>
      </c>
      <c r="P25">
        <v>3000</v>
      </c>
      <c r="Q25" t="s">
        <v>21</v>
      </c>
      <c r="T25">
        <v>12</v>
      </c>
      <c r="U25" s="1">
        <v>45875</v>
      </c>
      <c r="V25">
        <v>3000</v>
      </c>
      <c r="W25" t="s">
        <v>21</v>
      </c>
      <c r="X25" t="s">
        <v>22</v>
      </c>
    </row>
    <row r="26" spans="1:31" x14ac:dyDescent="0.25">
      <c r="A26" t="s">
        <v>18</v>
      </c>
      <c r="B26">
        <v>12</v>
      </c>
      <c r="C26" s="1">
        <v>44634</v>
      </c>
      <c r="D26">
        <v>3000</v>
      </c>
      <c r="E26" t="s">
        <v>32</v>
      </c>
      <c r="G26" t="s">
        <v>18</v>
      </c>
      <c r="H26">
        <v>12</v>
      </c>
      <c r="I26" s="1">
        <v>45062</v>
      </c>
      <c r="J26">
        <v>3000</v>
      </c>
      <c r="K26" t="s">
        <v>36</v>
      </c>
      <c r="N26">
        <v>12</v>
      </c>
      <c r="O26" s="1">
        <v>45464</v>
      </c>
      <c r="P26">
        <v>4000</v>
      </c>
      <c r="Q26" t="s">
        <v>21</v>
      </c>
      <c r="T26">
        <v>12</v>
      </c>
      <c r="U26" s="1">
        <v>45730</v>
      </c>
      <c r="V26">
        <v>3000</v>
      </c>
      <c r="W26" t="s">
        <v>21</v>
      </c>
      <c r="X26" t="s">
        <v>40</v>
      </c>
    </row>
    <row r="27" spans="1:31" x14ac:dyDescent="0.25">
      <c r="A27" t="s">
        <v>18</v>
      </c>
      <c r="B27">
        <v>12</v>
      </c>
      <c r="C27" s="1">
        <v>44648</v>
      </c>
      <c r="D27">
        <v>3000</v>
      </c>
      <c r="E27" t="s">
        <v>32</v>
      </c>
      <c r="G27" t="s">
        <v>18</v>
      </c>
      <c r="H27">
        <v>12</v>
      </c>
      <c r="I27" s="1">
        <v>45084</v>
      </c>
      <c r="J27">
        <v>4000</v>
      </c>
      <c r="K27" t="s">
        <v>32</v>
      </c>
      <c r="N27">
        <v>12</v>
      </c>
      <c r="O27" s="1">
        <v>45483</v>
      </c>
      <c r="P27">
        <v>3000</v>
      </c>
      <c r="Q27" t="s">
        <v>21</v>
      </c>
      <c r="T27">
        <v>12</v>
      </c>
      <c r="U27" s="1">
        <v>45730</v>
      </c>
      <c r="V27">
        <v>3000</v>
      </c>
      <c r="W27" t="s">
        <v>21</v>
      </c>
      <c r="X27" t="s">
        <v>40</v>
      </c>
    </row>
    <row r="28" spans="1:31" x14ac:dyDescent="0.25">
      <c r="A28" t="s">
        <v>18</v>
      </c>
      <c r="B28">
        <v>12</v>
      </c>
      <c r="C28" s="1">
        <v>44664</v>
      </c>
      <c r="D28">
        <v>3000</v>
      </c>
      <c r="E28" t="s">
        <v>32</v>
      </c>
      <c r="G28" t="s">
        <v>18</v>
      </c>
      <c r="H28">
        <v>12</v>
      </c>
      <c r="I28" s="1">
        <v>45104</v>
      </c>
      <c r="J28">
        <v>3000</v>
      </c>
      <c r="K28" t="s">
        <v>32</v>
      </c>
      <c r="N28">
        <v>12</v>
      </c>
      <c r="O28" s="1">
        <v>45502</v>
      </c>
      <c r="P28">
        <v>4000</v>
      </c>
      <c r="Q28" t="s">
        <v>21</v>
      </c>
      <c r="R28" s="33">
        <f>SUM(P15:P28)</f>
        <v>50000</v>
      </c>
      <c r="T28">
        <v>12</v>
      </c>
      <c r="U28" s="1">
        <v>45728</v>
      </c>
      <c r="V28">
        <v>3000</v>
      </c>
      <c r="W28" t="s">
        <v>21</v>
      </c>
      <c r="X28" t="s">
        <v>40</v>
      </c>
    </row>
    <row r="29" spans="1:31" x14ac:dyDescent="0.25">
      <c r="A29" t="s">
        <v>18</v>
      </c>
      <c r="B29">
        <v>12</v>
      </c>
      <c r="C29" s="1">
        <v>44734</v>
      </c>
      <c r="D29">
        <v>3000</v>
      </c>
      <c r="E29" t="s">
        <v>32</v>
      </c>
      <c r="G29" t="s">
        <v>18</v>
      </c>
      <c r="H29">
        <v>12</v>
      </c>
      <c r="I29" s="1">
        <v>45121</v>
      </c>
      <c r="J29">
        <v>3000</v>
      </c>
      <c r="K29" t="s">
        <v>32</v>
      </c>
      <c r="N29">
        <v>8</v>
      </c>
      <c r="O29" s="1">
        <v>45432</v>
      </c>
      <c r="P29">
        <v>3000</v>
      </c>
      <c r="Q29" t="s">
        <v>42</v>
      </c>
      <c r="T29">
        <v>12</v>
      </c>
      <c r="U29" s="1">
        <v>45715</v>
      </c>
      <c r="V29">
        <v>3000</v>
      </c>
      <c r="W29" t="s">
        <v>21</v>
      </c>
      <c r="X29" t="s">
        <v>40</v>
      </c>
    </row>
    <row r="30" spans="1:31" x14ac:dyDescent="0.25">
      <c r="A30" t="s">
        <v>18</v>
      </c>
      <c r="B30">
        <v>12</v>
      </c>
      <c r="C30" s="1">
        <v>44726</v>
      </c>
      <c r="D30">
        <v>3000</v>
      </c>
      <c r="E30" t="s">
        <v>32</v>
      </c>
      <c r="G30" t="s">
        <v>18</v>
      </c>
      <c r="H30">
        <v>12</v>
      </c>
      <c r="I30" s="1">
        <v>45131</v>
      </c>
      <c r="J30">
        <v>4000</v>
      </c>
      <c r="K30" t="s">
        <v>32</v>
      </c>
      <c r="L30" s="33">
        <f>SUM(J14:J30)</f>
        <v>57000</v>
      </c>
      <c r="N30">
        <v>8</v>
      </c>
      <c r="O30" s="1">
        <v>45481</v>
      </c>
      <c r="P30">
        <v>3000</v>
      </c>
      <c r="Q30" t="s">
        <v>42</v>
      </c>
      <c r="R30" s="33">
        <f>SUM(P29:P30)</f>
        <v>6000</v>
      </c>
      <c r="T30">
        <v>12</v>
      </c>
      <c r="U30" s="1">
        <v>45700</v>
      </c>
      <c r="V30">
        <v>3000</v>
      </c>
      <c r="W30" t="s">
        <v>21</v>
      </c>
      <c r="X30" t="s">
        <v>40</v>
      </c>
    </row>
    <row r="31" spans="1:31" x14ac:dyDescent="0.25">
      <c r="A31" t="s">
        <v>18</v>
      </c>
      <c r="B31">
        <v>12</v>
      </c>
      <c r="C31" s="1">
        <v>44742</v>
      </c>
      <c r="D31">
        <v>3000</v>
      </c>
      <c r="E31" t="s">
        <v>32</v>
      </c>
      <c r="G31" t="s">
        <v>41</v>
      </c>
      <c r="H31">
        <v>8</v>
      </c>
      <c r="I31" s="1">
        <v>45076</v>
      </c>
      <c r="J31">
        <v>4000</v>
      </c>
      <c r="K31" t="s">
        <v>42</v>
      </c>
      <c r="L31" s="33">
        <v>4000</v>
      </c>
      <c r="N31">
        <v>8</v>
      </c>
      <c r="O31" s="1">
        <v>45324</v>
      </c>
      <c r="P31">
        <v>4000</v>
      </c>
      <c r="Q31" t="s">
        <v>29</v>
      </c>
      <c r="T31">
        <v>12</v>
      </c>
      <c r="U31" s="1">
        <v>45666</v>
      </c>
      <c r="V31">
        <v>3000</v>
      </c>
      <c r="W31" t="s">
        <v>21</v>
      </c>
      <c r="X31" t="s">
        <v>40</v>
      </c>
    </row>
    <row r="32" spans="1:31" x14ac:dyDescent="0.25">
      <c r="A32" t="s">
        <v>18</v>
      </c>
      <c r="B32">
        <v>12</v>
      </c>
      <c r="C32" s="1">
        <v>44750</v>
      </c>
      <c r="D32">
        <v>3000</v>
      </c>
      <c r="E32" t="s">
        <v>32</v>
      </c>
      <c r="G32" t="s">
        <v>18</v>
      </c>
      <c r="H32">
        <v>8</v>
      </c>
      <c r="I32" s="1">
        <v>44901</v>
      </c>
      <c r="J32">
        <v>4000</v>
      </c>
      <c r="K32" t="s">
        <v>43</v>
      </c>
      <c r="N32">
        <v>8</v>
      </c>
      <c r="O32" s="1">
        <v>45463</v>
      </c>
      <c r="P32">
        <v>4000</v>
      </c>
      <c r="Q32" t="s">
        <v>29</v>
      </c>
      <c r="T32">
        <v>12</v>
      </c>
      <c r="U32" s="1">
        <v>45547</v>
      </c>
      <c r="V32">
        <v>3000</v>
      </c>
      <c r="W32" t="s">
        <v>21</v>
      </c>
      <c r="X32" t="s">
        <v>40</v>
      </c>
      <c r="Y32" s="33">
        <f>SUM(V17:V32)+V73+V76</f>
        <v>56000</v>
      </c>
    </row>
    <row r="33" spans="1:25" x14ac:dyDescent="0.25">
      <c r="A33" t="s">
        <v>18</v>
      </c>
      <c r="B33">
        <v>12</v>
      </c>
      <c r="C33" s="1">
        <v>44767</v>
      </c>
      <c r="D33">
        <v>3000</v>
      </c>
      <c r="E33" t="s">
        <v>32</v>
      </c>
      <c r="F33" s="33">
        <f>SUM(D11:D33)</f>
        <v>69000</v>
      </c>
      <c r="G33" t="s">
        <v>18</v>
      </c>
      <c r="H33">
        <v>12</v>
      </c>
      <c r="I33" s="1">
        <v>44903</v>
      </c>
      <c r="J33">
        <v>4000</v>
      </c>
      <c r="K33" t="s">
        <v>43</v>
      </c>
      <c r="N33">
        <v>8</v>
      </c>
      <c r="O33" s="1">
        <v>45499</v>
      </c>
      <c r="P33">
        <v>4000</v>
      </c>
      <c r="Q33" t="s">
        <v>29</v>
      </c>
      <c r="R33" s="33">
        <f>SUM(P31:P33)</f>
        <v>12000</v>
      </c>
      <c r="T33">
        <v>8</v>
      </c>
      <c r="U33" s="1">
        <v>45673</v>
      </c>
      <c r="V33">
        <v>3000</v>
      </c>
      <c r="W33" t="s">
        <v>34</v>
      </c>
      <c r="X33" t="s">
        <v>44</v>
      </c>
    </row>
    <row r="34" spans="1:25" x14ac:dyDescent="0.25">
      <c r="A34" t="s">
        <v>18</v>
      </c>
      <c r="B34">
        <v>8</v>
      </c>
      <c r="C34" s="1">
        <v>44433</v>
      </c>
      <c r="D34">
        <v>4000</v>
      </c>
      <c r="E34" t="s">
        <v>43</v>
      </c>
      <c r="G34" t="s">
        <v>18</v>
      </c>
      <c r="H34">
        <v>8</v>
      </c>
      <c r="I34" s="1">
        <v>44942</v>
      </c>
      <c r="J34">
        <v>4000</v>
      </c>
      <c r="K34" t="s">
        <v>43</v>
      </c>
      <c r="N34">
        <v>8</v>
      </c>
      <c r="O34" s="1">
        <v>45162</v>
      </c>
      <c r="P34">
        <v>4000</v>
      </c>
      <c r="Q34" t="s">
        <v>25</v>
      </c>
      <c r="T34">
        <v>12</v>
      </c>
      <c r="U34" s="1">
        <v>45735</v>
      </c>
      <c r="V34">
        <v>3000</v>
      </c>
      <c r="W34" t="s">
        <v>34</v>
      </c>
      <c r="X34" t="s">
        <v>44</v>
      </c>
      <c r="Y34" s="33">
        <f>SUM(V33:V34)+V74</f>
        <v>9000</v>
      </c>
    </row>
    <row r="35" spans="1:25" x14ac:dyDescent="0.25">
      <c r="A35" t="s">
        <v>18</v>
      </c>
      <c r="B35">
        <v>8</v>
      </c>
      <c r="C35" s="1">
        <v>44441</v>
      </c>
      <c r="D35">
        <v>4000</v>
      </c>
      <c r="E35" t="s">
        <v>43</v>
      </c>
      <c r="G35" t="s">
        <v>18</v>
      </c>
      <c r="H35">
        <v>8</v>
      </c>
      <c r="I35" s="1">
        <v>45089</v>
      </c>
      <c r="J35">
        <v>4000</v>
      </c>
      <c r="K35" t="s">
        <v>43</v>
      </c>
      <c r="L35" s="33">
        <f>SUM(J32:J35)</f>
        <v>16000</v>
      </c>
      <c r="N35">
        <v>8</v>
      </c>
      <c r="O35" s="1">
        <v>45176</v>
      </c>
      <c r="P35">
        <v>4000</v>
      </c>
      <c r="Q35" t="s">
        <v>25</v>
      </c>
      <c r="T35">
        <v>8</v>
      </c>
      <c r="U35" s="1">
        <v>45658</v>
      </c>
      <c r="V35">
        <v>2500</v>
      </c>
      <c r="W35" t="s">
        <v>45</v>
      </c>
      <c r="X35" t="s">
        <v>44</v>
      </c>
    </row>
    <row r="36" spans="1:25" x14ac:dyDescent="0.25">
      <c r="A36" t="s">
        <v>18</v>
      </c>
      <c r="B36">
        <v>8</v>
      </c>
      <c r="C36" s="1">
        <v>44441</v>
      </c>
      <c r="D36">
        <v>4000</v>
      </c>
      <c r="E36" t="s">
        <v>43</v>
      </c>
      <c r="G36" t="s">
        <v>18</v>
      </c>
      <c r="H36">
        <v>12</v>
      </c>
      <c r="I36" s="1">
        <v>44942</v>
      </c>
      <c r="J36">
        <v>4000</v>
      </c>
      <c r="K36" t="s">
        <v>27</v>
      </c>
      <c r="N36">
        <v>8</v>
      </c>
      <c r="O36" s="1">
        <v>45422</v>
      </c>
      <c r="P36">
        <v>3000</v>
      </c>
      <c r="Q36" t="s">
        <v>25</v>
      </c>
      <c r="R36" s="33">
        <f>SUM(P34:P36)</f>
        <v>11000</v>
      </c>
      <c r="T36">
        <v>8</v>
      </c>
      <c r="U36" s="1">
        <v>45657</v>
      </c>
      <c r="V36">
        <v>2500</v>
      </c>
      <c r="W36" t="s">
        <v>45</v>
      </c>
      <c r="X36" t="s">
        <v>20</v>
      </c>
    </row>
    <row r="37" spans="1:25" x14ac:dyDescent="0.25">
      <c r="A37" t="s">
        <v>18</v>
      </c>
      <c r="B37">
        <v>8</v>
      </c>
      <c r="C37" s="1">
        <v>44447</v>
      </c>
      <c r="D37">
        <v>4000</v>
      </c>
      <c r="E37" t="s">
        <v>43</v>
      </c>
      <c r="G37" t="s">
        <v>18</v>
      </c>
      <c r="H37">
        <v>12</v>
      </c>
      <c r="I37" s="1">
        <v>44950</v>
      </c>
      <c r="J37">
        <v>4000</v>
      </c>
      <c r="K37" t="s">
        <v>27</v>
      </c>
      <c r="N37">
        <v>12</v>
      </c>
      <c r="O37" s="1">
        <v>45111</v>
      </c>
      <c r="P37">
        <v>4000</v>
      </c>
      <c r="Q37" t="s">
        <v>27</v>
      </c>
      <c r="T37">
        <v>8</v>
      </c>
      <c r="U37" s="1">
        <v>45657</v>
      </c>
      <c r="V37">
        <v>2800</v>
      </c>
      <c r="W37" t="s">
        <v>45</v>
      </c>
      <c r="X37" t="s">
        <v>20</v>
      </c>
      <c r="Y37" s="33">
        <f>SUM(W35:W37)</f>
        <v>0</v>
      </c>
    </row>
    <row r="38" spans="1:25" x14ac:dyDescent="0.25">
      <c r="A38" t="s">
        <v>18</v>
      </c>
      <c r="B38">
        <v>8</v>
      </c>
      <c r="C38" s="1">
        <v>44455</v>
      </c>
      <c r="D38">
        <v>4000</v>
      </c>
      <c r="E38" t="s">
        <v>43</v>
      </c>
      <c r="G38" t="s">
        <v>18</v>
      </c>
      <c r="H38">
        <v>12</v>
      </c>
      <c r="I38" s="1">
        <v>45027</v>
      </c>
      <c r="J38">
        <v>4000</v>
      </c>
      <c r="K38" t="s">
        <v>27</v>
      </c>
      <c r="N38">
        <v>12</v>
      </c>
      <c r="O38" s="1">
        <v>45378</v>
      </c>
      <c r="P38">
        <v>4000</v>
      </c>
      <c r="Q38" t="s">
        <v>27</v>
      </c>
      <c r="T38">
        <v>8</v>
      </c>
      <c r="U38" s="1">
        <v>45805</v>
      </c>
      <c r="V38">
        <v>3000</v>
      </c>
      <c r="W38" t="s">
        <v>42</v>
      </c>
      <c r="X38" t="s">
        <v>22</v>
      </c>
      <c r="Y38" s="33">
        <f>SUM(V38:V39)</f>
        <v>6000</v>
      </c>
    </row>
    <row r="39" spans="1:25" x14ac:dyDescent="0.25">
      <c r="A39" t="s">
        <v>18</v>
      </c>
      <c r="B39">
        <v>8</v>
      </c>
      <c r="C39" s="1">
        <v>44474</v>
      </c>
      <c r="D39">
        <v>4000</v>
      </c>
      <c r="E39" t="s">
        <v>43</v>
      </c>
      <c r="G39" t="s">
        <v>18</v>
      </c>
      <c r="H39">
        <v>12</v>
      </c>
      <c r="I39" s="1">
        <v>45049</v>
      </c>
      <c r="J39">
        <v>4000</v>
      </c>
      <c r="K39" t="s">
        <v>46</v>
      </c>
      <c r="N39">
        <v>12</v>
      </c>
      <c r="O39" s="1">
        <v>45412</v>
      </c>
      <c r="P39">
        <v>4000</v>
      </c>
      <c r="Q39" t="s">
        <v>27</v>
      </c>
      <c r="T39">
        <v>8</v>
      </c>
      <c r="U39" s="1">
        <v>45869</v>
      </c>
      <c r="V39">
        <v>3000</v>
      </c>
      <c r="W39" t="s">
        <v>42</v>
      </c>
      <c r="X39" t="s">
        <v>22</v>
      </c>
    </row>
    <row r="40" spans="1:25" x14ac:dyDescent="0.25">
      <c r="A40" t="s">
        <v>18</v>
      </c>
      <c r="B40">
        <v>8</v>
      </c>
      <c r="C40" s="1">
        <v>44539</v>
      </c>
      <c r="D40">
        <v>4000</v>
      </c>
      <c r="E40" t="s">
        <v>43</v>
      </c>
      <c r="G40" t="s">
        <v>18</v>
      </c>
      <c r="H40">
        <v>12</v>
      </c>
      <c r="I40" s="1">
        <v>45096</v>
      </c>
      <c r="J40">
        <v>4000</v>
      </c>
      <c r="K40" t="s">
        <v>27</v>
      </c>
      <c r="N40">
        <v>12</v>
      </c>
      <c r="O40" s="1">
        <v>45470</v>
      </c>
      <c r="P40">
        <v>3000</v>
      </c>
      <c r="Q40" t="s">
        <v>27</v>
      </c>
      <c r="R40" s="33">
        <f>SUM(P37:P40)</f>
        <v>15000</v>
      </c>
      <c r="T40">
        <v>8</v>
      </c>
      <c r="U40" s="1">
        <v>45761</v>
      </c>
      <c r="V40">
        <v>4000</v>
      </c>
      <c r="W40" t="s">
        <v>47</v>
      </c>
      <c r="X40" t="s">
        <v>22</v>
      </c>
    </row>
    <row r="41" spans="1:25" x14ac:dyDescent="0.25">
      <c r="A41" t="s">
        <v>18</v>
      </c>
      <c r="B41">
        <v>8</v>
      </c>
      <c r="C41" s="1">
        <v>44588</v>
      </c>
      <c r="D41">
        <v>4000</v>
      </c>
      <c r="E41" t="s">
        <v>43</v>
      </c>
      <c r="G41" t="s">
        <v>18</v>
      </c>
      <c r="H41">
        <v>12</v>
      </c>
      <c r="I41" s="1">
        <v>45111</v>
      </c>
      <c r="J41">
        <v>4000</v>
      </c>
      <c r="K41" t="s">
        <v>27</v>
      </c>
      <c r="L41" s="33">
        <f>SUM(J36:J41)</f>
        <v>24000</v>
      </c>
      <c r="N41">
        <v>12</v>
      </c>
      <c r="O41" s="1">
        <v>45170</v>
      </c>
      <c r="P41">
        <v>4000</v>
      </c>
      <c r="Q41" t="s">
        <v>31</v>
      </c>
      <c r="R41" s="33">
        <f>P41</f>
        <v>4000</v>
      </c>
      <c r="T41">
        <v>12</v>
      </c>
      <c r="U41" s="1">
        <v>45664</v>
      </c>
      <c r="V41">
        <v>4000</v>
      </c>
      <c r="W41" t="s">
        <v>47</v>
      </c>
      <c r="X41" t="s">
        <v>22</v>
      </c>
      <c r="Y41" s="33">
        <f>SUM(V40:V41)</f>
        <v>8000</v>
      </c>
    </row>
    <row r="42" spans="1:25" x14ac:dyDescent="0.25">
      <c r="A42" t="s">
        <v>18</v>
      </c>
      <c r="B42">
        <v>8</v>
      </c>
      <c r="C42" s="1">
        <v>44664</v>
      </c>
      <c r="D42">
        <v>4000</v>
      </c>
      <c r="E42" t="s">
        <v>43</v>
      </c>
      <c r="N42">
        <v>12</v>
      </c>
      <c r="O42" s="1">
        <v>45334</v>
      </c>
      <c r="P42">
        <v>4000</v>
      </c>
      <c r="Q42" t="s">
        <v>267</v>
      </c>
      <c r="T42">
        <v>8</v>
      </c>
      <c r="U42" s="1">
        <v>45657</v>
      </c>
      <c r="V42">
        <v>4000</v>
      </c>
      <c r="W42" t="s">
        <v>48</v>
      </c>
      <c r="X42" t="s">
        <v>20</v>
      </c>
      <c r="Y42" s="33">
        <f>V42</f>
        <v>4000</v>
      </c>
    </row>
    <row r="43" spans="1:25" x14ac:dyDescent="0.25">
      <c r="A43" t="s">
        <v>18</v>
      </c>
      <c r="B43">
        <v>8</v>
      </c>
      <c r="C43" s="1">
        <v>44691</v>
      </c>
      <c r="D43">
        <v>4000</v>
      </c>
      <c r="E43" t="s">
        <v>43</v>
      </c>
      <c r="F43" s="33">
        <f>SUM(D34:D43)</f>
        <v>40000</v>
      </c>
      <c r="N43">
        <v>12</v>
      </c>
      <c r="O43" s="1">
        <v>45415</v>
      </c>
      <c r="P43">
        <v>4000</v>
      </c>
      <c r="Q43" t="s">
        <v>33</v>
      </c>
      <c r="T43">
        <v>8</v>
      </c>
      <c r="U43" s="1">
        <v>45660</v>
      </c>
      <c r="V43">
        <v>3000</v>
      </c>
      <c r="W43" t="s">
        <v>49</v>
      </c>
      <c r="X43" t="s">
        <v>44</v>
      </c>
      <c r="Y43" s="33">
        <f>V43</f>
        <v>3000</v>
      </c>
    </row>
    <row r="44" spans="1:25" x14ac:dyDescent="0.25">
      <c r="A44" t="s">
        <v>18</v>
      </c>
      <c r="B44">
        <v>12</v>
      </c>
      <c r="C44" s="1">
        <v>44595</v>
      </c>
      <c r="D44">
        <v>4000</v>
      </c>
      <c r="E44" t="s">
        <v>27</v>
      </c>
      <c r="N44">
        <v>12</v>
      </c>
      <c r="O44" s="1">
        <v>45469</v>
      </c>
      <c r="P44">
        <v>3000</v>
      </c>
      <c r="Q44" t="s">
        <v>33</v>
      </c>
      <c r="R44" s="33">
        <f>SUM(P42:P44)</f>
        <v>11000</v>
      </c>
      <c r="T44">
        <v>8</v>
      </c>
      <c r="U44" s="1">
        <v>45657</v>
      </c>
      <c r="V44">
        <v>3000</v>
      </c>
      <c r="W44" t="s">
        <v>50</v>
      </c>
      <c r="X44" t="s">
        <v>20</v>
      </c>
      <c r="Y44" s="33">
        <f>V44</f>
        <v>3000</v>
      </c>
    </row>
    <row r="45" spans="1:25" x14ac:dyDescent="0.25">
      <c r="A45" t="s">
        <v>18</v>
      </c>
      <c r="B45">
        <v>12</v>
      </c>
      <c r="C45" s="1">
        <v>44638</v>
      </c>
      <c r="D45">
        <v>4000</v>
      </c>
      <c r="E45" t="s">
        <v>27</v>
      </c>
      <c r="T45">
        <v>12</v>
      </c>
      <c r="U45" s="1">
        <v>45679</v>
      </c>
      <c r="V45">
        <v>4000</v>
      </c>
      <c r="W45" t="s">
        <v>51</v>
      </c>
      <c r="X45" t="s">
        <v>22</v>
      </c>
    </row>
    <row r="46" spans="1:25" x14ac:dyDescent="0.25">
      <c r="A46" t="s">
        <v>18</v>
      </c>
      <c r="B46">
        <v>12</v>
      </c>
      <c r="C46" s="1">
        <v>44706</v>
      </c>
      <c r="D46">
        <v>4000</v>
      </c>
      <c r="E46" t="s">
        <v>27</v>
      </c>
      <c r="T46">
        <v>12</v>
      </c>
      <c r="U46" s="1">
        <v>45729</v>
      </c>
      <c r="V46">
        <v>4000</v>
      </c>
      <c r="W46" t="s">
        <v>51</v>
      </c>
      <c r="X46" t="s">
        <v>22</v>
      </c>
    </row>
    <row r="47" spans="1:25" x14ac:dyDescent="0.25">
      <c r="A47" t="s">
        <v>18</v>
      </c>
      <c r="B47">
        <v>12</v>
      </c>
      <c r="C47" s="1">
        <v>44726</v>
      </c>
      <c r="D47">
        <v>4000</v>
      </c>
      <c r="E47" t="s">
        <v>27</v>
      </c>
      <c r="F47" s="33">
        <f>SUM(D44:D47)</f>
        <v>16000</v>
      </c>
      <c r="T47">
        <v>12</v>
      </c>
      <c r="U47" s="1">
        <v>45751</v>
      </c>
      <c r="V47">
        <v>4000</v>
      </c>
      <c r="W47" t="s">
        <v>51</v>
      </c>
      <c r="X47" t="s">
        <v>22</v>
      </c>
    </row>
    <row r="48" spans="1:25" x14ac:dyDescent="0.25">
      <c r="A48" t="s">
        <v>18</v>
      </c>
      <c r="B48">
        <v>12</v>
      </c>
      <c r="C48" s="1">
        <v>44459</v>
      </c>
      <c r="D48">
        <v>3000</v>
      </c>
      <c r="E48" t="s">
        <v>52</v>
      </c>
      <c r="F48" s="33">
        <v>3000</v>
      </c>
      <c r="T48">
        <v>12</v>
      </c>
      <c r="U48" s="1">
        <v>45819</v>
      </c>
      <c r="V48">
        <v>4000</v>
      </c>
      <c r="W48" t="s">
        <v>51</v>
      </c>
      <c r="X48" t="s">
        <v>22</v>
      </c>
    </row>
    <row r="49" spans="20:25" x14ac:dyDescent="0.25">
      <c r="T49">
        <v>12</v>
      </c>
      <c r="U49" s="1">
        <v>45855</v>
      </c>
      <c r="V49">
        <v>4000</v>
      </c>
      <c r="W49" t="s">
        <v>51</v>
      </c>
      <c r="X49" t="s">
        <v>22</v>
      </c>
      <c r="Y49" s="33">
        <f>SUM(V45:V49)</f>
        <v>20000</v>
      </c>
    </row>
    <row r="50" spans="20:25" x14ac:dyDescent="0.25">
      <c r="T50">
        <v>8</v>
      </c>
      <c r="U50" s="1">
        <v>45659</v>
      </c>
      <c r="V50">
        <v>2800</v>
      </c>
      <c r="W50" t="s">
        <v>53</v>
      </c>
      <c r="X50" t="s">
        <v>44</v>
      </c>
    </row>
    <row r="51" spans="20:25" x14ac:dyDescent="0.25">
      <c r="T51">
        <v>8</v>
      </c>
      <c r="U51" s="1">
        <v>45657</v>
      </c>
      <c r="V51">
        <v>2800</v>
      </c>
      <c r="W51" t="s">
        <v>53</v>
      </c>
      <c r="X51" t="s">
        <v>20</v>
      </c>
    </row>
    <row r="52" spans="20:25" x14ac:dyDescent="0.25">
      <c r="T52">
        <v>8</v>
      </c>
      <c r="U52" s="1">
        <v>45657</v>
      </c>
      <c r="V52">
        <v>2800</v>
      </c>
      <c r="W52" t="s">
        <v>53</v>
      </c>
      <c r="X52" t="s">
        <v>20</v>
      </c>
      <c r="Y52" s="33">
        <f>SUM(V50:V52)</f>
        <v>8400</v>
      </c>
    </row>
    <row r="53" spans="20:25" x14ac:dyDescent="0.25">
      <c r="T53">
        <v>12</v>
      </c>
      <c r="U53" s="1">
        <v>45657</v>
      </c>
      <c r="V53">
        <v>3000</v>
      </c>
      <c r="W53" t="s">
        <v>31</v>
      </c>
      <c r="X53" t="s">
        <v>40</v>
      </c>
    </row>
    <row r="54" spans="20:25" x14ac:dyDescent="0.25">
      <c r="T54">
        <v>12</v>
      </c>
      <c r="U54" s="1">
        <v>45657</v>
      </c>
      <c r="V54">
        <v>3000</v>
      </c>
      <c r="W54" t="s">
        <v>31</v>
      </c>
      <c r="X54" t="s">
        <v>40</v>
      </c>
    </row>
    <row r="55" spans="20:25" x14ac:dyDescent="0.25">
      <c r="T55">
        <v>12</v>
      </c>
      <c r="U55" s="1">
        <v>45657</v>
      </c>
      <c r="V55">
        <v>4000</v>
      </c>
      <c r="W55" t="s">
        <v>31</v>
      </c>
      <c r="X55" t="s">
        <v>40</v>
      </c>
    </row>
    <row r="56" spans="20:25" x14ac:dyDescent="0.25">
      <c r="T56">
        <v>12</v>
      </c>
      <c r="U56" s="1">
        <v>45657</v>
      </c>
      <c r="V56">
        <v>3000</v>
      </c>
      <c r="W56" t="s">
        <v>31</v>
      </c>
      <c r="X56" t="s">
        <v>40</v>
      </c>
    </row>
    <row r="57" spans="20:25" x14ac:dyDescent="0.25">
      <c r="T57">
        <v>12</v>
      </c>
      <c r="U57" s="1">
        <v>45657</v>
      </c>
      <c r="V57">
        <v>4000</v>
      </c>
      <c r="W57" t="s">
        <v>31</v>
      </c>
      <c r="X57" t="s">
        <v>40</v>
      </c>
    </row>
    <row r="58" spans="20:25" x14ac:dyDescent="0.25">
      <c r="T58">
        <v>12</v>
      </c>
      <c r="U58" s="1">
        <v>45657</v>
      </c>
      <c r="V58">
        <v>3000</v>
      </c>
      <c r="W58" t="s">
        <v>31</v>
      </c>
      <c r="X58" t="s">
        <v>40</v>
      </c>
    </row>
    <row r="59" spans="20:25" x14ac:dyDescent="0.25">
      <c r="T59">
        <v>12</v>
      </c>
      <c r="U59" s="1">
        <v>45657</v>
      </c>
      <c r="V59">
        <v>3000</v>
      </c>
      <c r="W59" t="s">
        <v>31</v>
      </c>
      <c r="X59" t="s">
        <v>40</v>
      </c>
    </row>
    <row r="60" spans="20:25" x14ac:dyDescent="0.25">
      <c r="T60">
        <v>12</v>
      </c>
      <c r="U60" s="1">
        <v>45657</v>
      </c>
      <c r="V60">
        <v>3000</v>
      </c>
      <c r="W60" t="s">
        <v>31</v>
      </c>
      <c r="X60" t="s">
        <v>40</v>
      </c>
    </row>
    <row r="61" spans="20:25" x14ac:dyDescent="0.25">
      <c r="T61">
        <v>12</v>
      </c>
      <c r="U61" s="1">
        <v>45657</v>
      </c>
      <c r="V61">
        <v>4000</v>
      </c>
      <c r="W61" t="s">
        <v>31</v>
      </c>
      <c r="X61" t="s">
        <v>40</v>
      </c>
    </row>
    <row r="62" spans="20:25" x14ac:dyDescent="0.25">
      <c r="T62">
        <v>12</v>
      </c>
      <c r="U62" s="1">
        <v>45691</v>
      </c>
      <c r="V62">
        <v>4000</v>
      </c>
      <c r="W62" t="s">
        <v>31</v>
      </c>
      <c r="X62" t="s">
        <v>22</v>
      </c>
    </row>
    <row r="63" spans="20:25" x14ac:dyDescent="0.25">
      <c r="T63">
        <v>8</v>
      </c>
      <c r="U63" s="1">
        <v>45713</v>
      </c>
      <c r="V63">
        <v>3000</v>
      </c>
      <c r="W63" t="s">
        <v>31</v>
      </c>
      <c r="X63" t="s">
        <v>22</v>
      </c>
    </row>
    <row r="64" spans="20:25" x14ac:dyDescent="0.25">
      <c r="T64">
        <v>8</v>
      </c>
      <c r="U64" s="1">
        <v>45758</v>
      </c>
      <c r="V64">
        <v>3500</v>
      </c>
      <c r="W64" t="s">
        <v>31</v>
      </c>
      <c r="X64" t="s">
        <v>22</v>
      </c>
    </row>
    <row r="65" spans="20:25" x14ac:dyDescent="0.25">
      <c r="T65">
        <v>8</v>
      </c>
      <c r="U65" s="1">
        <v>45791</v>
      </c>
      <c r="V65">
        <v>3000</v>
      </c>
      <c r="W65" t="s">
        <v>31</v>
      </c>
      <c r="X65" t="s">
        <v>22</v>
      </c>
    </row>
    <row r="66" spans="20:25" x14ac:dyDescent="0.25">
      <c r="T66">
        <v>8</v>
      </c>
      <c r="U66" s="1">
        <v>45845</v>
      </c>
      <c r="V66">
        <v>3000</v>
      </c>
      <c r="W66" t="s">
        <v>31</v>
      </c>
      <c r="X66" t="s">
        <v>22</v>
      </c>
    </row>
    <row r="67" spans="20:25" x14ac:dyDescent="0.25">
      <c r="T67">
        <v>8</v>
      </c>
      <c r="U67" s="1">
        <v>45705</v>
      </c>
      <c r="V67">
        <v>3000</v>
      </c>
      <c r="W67" t="s">
        <v>31</v>
      </c>
      <c r="X67" t="s">
        <v>40</v>
      </c>
    </row>
    <row r="68" spans="20:25" x14ac:dyDescent="0.25">
      <c r="T68">
        <v>8</v>
      </c>
      <c r="U68" s="1">
        <v>45525</v>
      </c>
      <c r="V68">
        <v>3000</v>
      </c>
      <c r="W68" t="s">
        <v>31</v>
      </c>
      <c r="X68" t="s">
        <v>40</v>
      </c>
    </row>
    <row r="69" spans="20:25" x14ac:dyDescent="0.25">
      <c r="T69">
        <v>8</v>
      </c>
      <c r="U69" s="1">
        <v>45525</v>
      </c>
      <c r="V69">
        <v>3000</v>
      </c>
      <c r="W69" t="s">
        <v>31</v>
      </c>
      <c r="X69" t="s">
        <v>40</v>
      </c>
      <c r="Y69" s="33">
        <f>SUM(V53:V69)+V75</f>
        <v>58500</v>
      </c>
    </row>
    <row r="70" spans="20:25" x14ac:dyDescent="0.25">
      <c r="T70">
        <v>12</v>
      </c>
      <c r="U70" s="1">
        <v>45657</v>
      </c>
      <c r="V70">
        <v>3000</v>
      </c>
      <c r="W70" t="s">
        <v>33</v>
      </c>
      <c r="X70" t="s">
        <v>44</v>
      </c>
    </row>
    <row r="71" spans="20:25" x14ac:dyDescent="0.25">
      <c r="T71">
        <v>12</v>
      </c>
      <c r="U71" s="1">
        <v>45657</v>
      </c>
      <c r="V71">
        <v>3000</v>
      </c>
      <c r="W71" t="s">
        <v>33</v>
      </c>
      <c r="X71" t="s">
        <v>20</v>
      </c>
    </row>
    <row r="72" spans="20:25" x14ac:dyDescent="0.25">
      <c r="T72">
        <v>12</v>
      </c>
      <c r="U72" s="1">
        <v>45657</v>
      </c>
      <c r="V72">
        <v>4000</v>
      </c>
      <c r="W72" t="s">
        <v>33</v>
      </c>
      <c r="X72" t="s">
        <v>20</v>
      </c>
      <c r="Y72" s="33">
        <f>SUM(V70:V72)</f>
        <v>10000</v>
      </c>
    </row>
    <row r="73" spans="20:25" x14ac:dyDescent="0.25">
      <c r="T73">
        <v>12</v>
      </c>
      <c r="U73" s="1">
        <v>45866</v>
      </c>
      <c r="V73">
        <v>3000</v>
      </c>
      <c r="W73" t="s">
        <v>21</v>
      </c>
      <c r="X73" t="s">
        <v>40</v>
      </c>
    </row>
    <row r="74" spans="20:25" x14ac:dyDescent="0.25">
      <c r="T74">
        <v>8</v>
      </c>
      <c r="U74" s="1">
        <v>45819</v>
      </c>
      <c r="V74">
        <v>3000</v>
      </c>
      <c r="W74" t="s">
        <v>34</v>
      </c>
      <c r="X74" t="s">
        <v>40</v>
      </c>
    </row>
    <row r="75" spans="20:25" x14ac:dyDescent="0.25">
      <c r="T75">
        <v>8</v>
      </c>
      <c r="U75" s="1">
        <v>45846</v>
      </c>
      <c r="V75">
        <v>3000</v>
      </c>
      <c r="W75" t="s">
        <v>54</v>
      </c>
      <c r="X75" t="s">
        <v>40</v>
      </c>
    </row>
    <row r="76" spans="20:25" x14ac:dyDescent="0.25">
      <c r="T76">
        <v>12</v>
      </c>
      <c r="U76" s="1">
        <v>45841</v>
      </c>
      <c r="V76">
        <v>3000</v>
      </c>
      <c r="W76" t="s">
        <v>21</v>
      </c>
      <c r="X76" t="s">
        <v>40</v>
      </c>
    </row>
    <row r="77" spans="20:25" x14ac:dyDescent="0.25">
      <c r="T77">
        <f>COUNT(T3:T76)</f>
        <v>74</v>
      </c>
    </row>
  </sheetData>
  <autoFilter ref="S2:X84" xr:uid="{37973365-16A2-4C66-80A2-3D26F9C1C714}">
    <sortState xmlns:xlrd2="http://schemas.microsoft.com/office/spreadsheetml/2017/richdata2" ref="S3:X84">
      <sortCondition ref="W2:W46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B36A-ABE7-4DBA-985B-A09BE2AD0943}">
  <dimension ref="A1:N56"/>
  <sheetViews>
    <sheetView zoomScale="115" zoomScaleNormal="115" workbookViewId="0">
      <selection activeCell="H55" sqref="H55"/>
    </sheetView>
  </sheetViews>
  <sheetFormatPr defaultRowHeight="15.75" x14ac:dyDescent="0.25"/>
  <cols>
    <col min="1" max="1" width="35.125" bestFit="1" customWidth="1"/>
    <col min="2" max="2" width="12.125" bestFit="1" customWidth="1"/>
    <col min="3" max="4" width="13.25" bestFit="1" customWidth="1"/>
    <col min="6" max="6" width="10.25" bestFit="1" customWidth="1"/>
    <col min="8" max="8" width="18.25" customWidth="1"/>
    <col min="10" max="10" width="13" bestFit="1" customWidth="1"/>
    <col min="11" max="11" width="13.125" customWidth="1"/>
    <col min="12" max="12" width="10.625" bestFit="1" customWidth="1"/>
    <col min="14" max="14" width="15.25" customWidth="1"/>
  </cols>
  <sheetData>
    <row r="1" spans="1:14" ht="16.5" thickBot="1" x14ac:dyDescent="0.3">
      <c r="A1" s="53"/>
      <c r="B1" s="55" t="s">
        <v>55</v>
      </c>
      <c r="C1" s="55" t="s">
        <v>55</v>
      </c>
      <c r="D1" s="55" t="s">
        <v>55</v>
      </c>
      <c r="E1" s="55" t="s">
        <v>55</v>
      </c>
      <c r="F1" s="55" t="s">
        <v>17</v>
      </c>
      <c r="G1" s="55" t="s">
        <v>17</v>
      </c>
      <c r="H1" s="55" t="s">
        <v>17</v>
      </c>
      <c r="I1" s="56" t="s">
        <v>17</v>
      </c>
      <c r="J1" s="3"/>
      <c r="K1" s="53" t="s">
        <v>266</v>
      </c>
      <c r="L1" s="55" t="s">
        <v>6</v>
      </c>
      <c r="M1" s="55" t="s">
        <v>56</v>
      </c>
      <c r="N1" s="56" t="s">
        <v>11</v>
      </c>
    </row>
    <row r="2" spans="1:14" ht="16.5" thickBot="1" x14ac:dyDescent="0.3">
      <c r="A2" s="57" t="s">
        <v>57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13</v>
      </c>
      <c r="G2" s="3" t="s">
        <v>14</v>
      </c>
      <c r="H2" s="3" t="s">
        <v>15</v>
      </c>
      <c r="I2" s="58" t="s">
        <v>16</v>
      </c>
      <c r="K2" s="53" t="s">
        <v>266</v>
      </c>
      <c r="L2" s="1">
        <v>45346</v>
      </c>
      <c r="M2">
        <v>50</v>
      </c>
      <c r="N2" s="37" t="s">
        <v>58</v>
      </c>
    </row>
    <row r="3" spans="1:14" ht="16.5" thickBot="1" x14ac:dyDescent="0.3">
      <c r="A3" s="49" t="s">
        <v>59</v>
      </c>
      <c r="B3" s="59">
        <v>0</v>
      </c>
      <c r="C3" s="59">
        <v>88</v>
      </c>
      <c r="D3" s="59">
        <v>160</v>
      </c>
      <c r="E3" s="3">
        <v>783</v>
      </c>
      <c r="F3" s="60">
        <f>B3/$B$12</f>
        <v>0</v>
      </c>
      <c r="G3" s="60">
        <f>C3/$C$12</f>
        <v>4.5096868586187548E-4</v>
      </c>
      <c r="H3" s="61">
        <f>D3/$D$12</f>
        <v>5.9404813814137975E-4</v>
      </c>
      <c r="I3" s="62">
        <f>E3/$D$12</f>
        <v>2.9071230760293774E-3</v>
      </c>
      <c r="K3" s="53" t="s">
        <v>266</v>
      </c>
      <c r="L3" s="1">
        <v>45573</v>
      </c>
      <c r="M3">
        <v>25</v>
      </c>
      <c r="N3" s="37" t="s">
        <v>20</v>
      </c>
    </row>
    <row r="4" spans="1:14" ht="16.5" thickBot="1" x14ac:dyDescent="0.3">
      <c r="A4" s="49" t="s">
        <v>60</v>
      </c>
      <c r="B4" s="59">
        <v>0</v>
      </c>
      <c r="C4" s="59">
        <v>11093</v>
      </c>
      <c r="D4" s="59">
        <v>17582</v>
      </c>
      <c r="E4" s="3">
        <v>15758</v>
      </c>
      <c r="F4" s="60">
        <f t="shared" ref="F4:F8" si="0">B4/$B$12</f>
        <v>0</v>
      </c>
      <c r="G4" s="60">
        <f t="shared" ref="G4:G8" si="1">C4/$C$12</f>
        <v>5.6847677639383913E-2</v>
      </c>
      <c r="H4" s="61">
        <f>D4/$D$12</f>
        <v>6.527846478001087E-2</v>
      </c>
      <c r="I4" s="62">
        <f t="shared" ref="I4:I10" si="2">E4/$D$12</f>
        <v>5.8506316005199142E-2</v>
      </c>
      <c r="K4" s="53" t="s">
        <v>266</v>
      </c>
      <c r="L4" s="1">
        <v>45604</v>
      </c>
      <c r="M4">
        <v>20</v>
      </c>
      <c r="N4" s="37" t="s">
        <v>22</v>
      </c>
    </row>
    <row r="5" spans="1:14" ht="16.5" thickBot="1" x14ac:dyDescent="0.3">
      <c r="A5" s="57" t="s">
        <v>61</v>
      </c>
      <c r="B5" s="59">
        <f>8033*12</f>
        <v>96396</v>
      </c>
      <c r="C5" s="59">
        <v>148486</v>
      </c>
      <c r="D5" s="59">
        <v>182795</v>
      </c>
      <c r="E5" s="3">
        <f>158186+E42</f>
        <v>158186</v>
      </c>
      <c r="F5" s="60">
        <f t="shared" si="0"/>
        <v>0.86078616969978394</v>
      </c>
      <c r="G5" s="60">
        <f t="shared" si="1"/>
        <v>0.76093791237370956</v>
      </c>
      <c r="H5" s="61">
        <f>D5/D12</f>
        <v>0.67868143382220947</v>
      </c>
      <c r="I5" s="62">
        <f t="shared" si="2"/>
        <v>0.58731311737520187</v>
      </c>
      <c r="K5" s="53" t="s">
        <v>266</v>
      </c>
      <c r="L5" s="1">
        <v>45673</v>
      </c>
      <c r="M5">
        <v>50</v>
      </c>
      <c r="N5" s="37" t="s">
        <v>58</v>
      </c>
    </row>
    <row r="6" spans="1:14" ht="16.5" thickBot="1" x14ac:dyDescent="0.3">
      <c r="A6" s="49" t="s">
        <v>62</v>
      </c>
      <c r="B6" s="59">
        <f>(286*12)+paper!B3</f>
        <v>15590</v>
      </c>
      <c r="C6" s="59">
        <f>11038+paper!C3</f>
        <v>34536.5</v>
      </c>
      <c r="D6" s="59">
        <f>21624+paper!D3</f>
        <v>40904</v>
      </c>
      <c r="E6" s="59">
        <f>18145+paper!E3</f>
        <v>43494</v>
      </c>
      <c r="F6" s="60">
        <f t="shared" si="0"/>
        <v>0.13921383030021608</v>
      </c>
      <c r="G6" s="60">
        <f t="shared" si="1"/>
        <v>0.17698727294623479</v>
      </c>
      <c r="H6" s="61">
        <f>D6/$D$12</f>
        <v>0.15186840651584374</v>
      </c>
      <c r="I6" s="62">
        <f t="shared" si="2"/>
        <v>0.16148456075200734</v>
      </c>
      <c r="K6" s="53" t="s">
        <v>266</v>
      </c>
      <c r="L6" s="1">
        <v>45687</v>
      </c>
      <c r="M6">
        <v>50</v>
      </c>
      <c r="N6" s="37" t="s">
        <v>58</v>
      </c>
    </row>
    <row r="7" spans="1:14" ht="16.5" thickBot="1" x14ac:dyDescent="0.3">
      <c r="A7" s="49" t="s">
        <v>63</v>
      </c>
      <c r="B7" s="59">
        <v>0</v>
      </c>
      <c r="C7" s="59">
        <v>932</v>
      </c>
      <c r="D7" s="59">
        <f>3103+105</f>
        <v>3208</v>
      </c>
      <c r="E7" s="3">
        <v>4513</v>
      </c>
      <c r="F7" s="60">
        <f t="shared" si="0"/>
        <v>0</v>
      </c>
      <c r="G7" s="60">
        <f t="shared" si="1"/>
        <v>4.7761683548098628E-3</v>
      </c>
      <c r="H7" s="61">
        <f>D7/$D$12</f>
        <v>1.1910665169734665E-2</v>
      </c>
      <c r="I7" s="62">
        <f t="shared" si="2"/>
        <v>1.6755870296450294E-2</v>
      </c>
      <c r="K7" s="53" t="s">
        <v>266</v>
      </c>
      <c r="L7" s="1">
        <v>45729</v>
      </c>
      <c r="M7">
        <v>40</v>
      </c>
      <c r="N7" s="37" t="s">
        <v>58</v>
      </c>
    </row>
    <row r="8" spans="1:14" ht="16.5" thickBot="1" x14ac:dyDescent="0.3">
      <c r="A8" s="49" t="s">
        <v>64</v>
      </c>
      <c r="B8" s="59"/>
      <c r="C8" s="59"/>
      <c r="D8" s="59">
        <v>6420</v>
      </c>
      <c r="E8" s="3">
        <f>18420</f>
        <v>18420</v>
      </c>
      <c r="F8" s="60">
        <f t="shared" si="0"/>
        <v>0</v>
      </c>
      <c r="G8" s="60">
        <f t="shared" si="1"/>
        <v>0</v>
      </c>
      <c r="H8" s="61">
        <f>D8/$D$12</f>
        <v>2.3836181542922864E-2</v>
      </c>
      <c r="I8" s="62">
        <f t="shared" si="2"/>
        <v>6.8389791903526356E-2</v>
      </c>
      <c r="K8" s="53" t="s">
        <v>266</v>
      </c>
      <c r="L8" s="1">
        <v>45733</v>
      </c>
      <c r="M8">
        <v>60</v>
      </c>
      <c r="N8" s="37" t="s">
        <v>44</v>
      </c>
    </row>
    <row r="9" spans="1:14" ht="16.5" thickBot="1" x14ac:dyDescent="0.3">
      <c r="A9" s="49" t="s">
        <v>65</v>
      </c>
      <c r="B9" s="63"/>
      <c r="C9" s="63"/>
      <c r="D9" s="63">
        <v>12000</v>
      </c>
      <c r="E9" s="64">
        <f>E39+E44</f>
        <v>3000</v>
      </c>
      <c r="F9" s="65"/>
      <c r="G9" s="65"/>
      <c r="H9" s="66">
        <f>D9/$D$12</f>
        <v>4.4553610360603485E-2</v>
      </c>
      <c r="I9" s="62">
        <f t="shared" si="2"/>
        <v>1.1138402590150871E-2</v>
      </c>
      <c r="K9" s="53" t="s">
        <v>266</v>
      </c>
      <c r="L9" s="1">
        <v>45734</v>
      </c>
      <c r="M9">
        <v>55</v>
      </c>
      <c r="N9" s="37" t="s">
        <v>40</v>
      </c>
    </row>
    <row r="10" spans="1:14" ht="16.5" thickBot="1" x14ac:dyDescent="0.3">
      <c r="A10" s="49" t="s">
        <v>66</v>
      </c>
      <c r="B10" s="63"/>
      <c r="C10" s="63"/>
      <c r="D10" s="63">
        <v>6000</v>
      </c>
      <c r="E10" s="64">
        <f>E35+E36</f>
        <v>14000</v>
      </c>
      <c r="F10" s="65"/>
      <c r="G10" s="65"/>
      <c r="H10" s="66">
        <f>D10/$D$12</f>
        <v>2.2276805180301743E-2</v>
      </c>
      <c r="I10" s="62">
        <f t="shared" si="2"/>
        <v>5.1979212087370733E-2</v>
      </c>
      <c r="K10" s="53" t="s">
        <v>266</v>
      </c>
      <c r="L10" s="1">
        <v>45743</v>
      </c>
      <c r="M10">
        <v>35</v>
      </c>
      <c r="N10" s="37" t="s">
        <v>22</v>
      </c>
    </row>
    <row r="11" spans="1:14" ht="16.5" thickBot="1" x14ac:dyDescent="0.3">
      <c r="A11" s="57"/>
      <c r="B11" s="59"/>
      <c r="C11" s="59"/>
      <c r="D11" s="59"/>
      <c r="E11" s="3"/>
      <c r="F11" s="3"/>
      <c r="G11" s="3"/>
      <c r="H11" s="3"/>
      <c r="I11" s="62"/>
      <c r="K11" s="53" t="s">
        <v>266</v>
      </c>
      <c r="L11" s="1">
        <v>45761</v>
      </c>
      <c r="M11">
        <v>50</v>
      </c>
      <c r="N11" s="37" t="s">
        <v>58</v>
      </c>
    </row>
    <row r="12" spans="1:14" ht="16.5" thickBot="1" x14ac:dyDescent="0.3">
      <c r="A12" s="49" t="s">
        <v>37</v>
      </c>
      <c r="B12" s="45">
        <f t="shared" ref="B12:C12" si="3">SUM(B3:B8)</f>
        <v>111986</v>
      </c>
      <c r="C12" s="45">
        <f t="shared" si="3"/>
        <v>195135.5</v>
      </c>
      <c r="D12" s="45">
        <f>D3+D4+D6+D7+D8+D19+D9+D10+D5</f>
        <v>269338.44199999998</v>
      </c>
      <c r="E12" s="45">
        <f>E3+E4+E6+E7+E8+E19+E9+E10+E5</f>
        <v>261526.71799999999</v>
      </c>
      <c r="F12" s="3"/>
      <c r="G12" s="3"/>
      <c r="H12" s="3"/>
      <c r="I12" s="58"/>
      <c r="J12" s="71"/>
      <c r="K12" s="53" t="s">
        <v>266</v>
      </c>
      <c r="L12" s="1">
        <v>45785</v>
      </c>
      <c r="M12">
        <v>50</v>
      </c>
      <c r="N12" s="37" t="s">
        <v>58</v>
      </c>
    </row>
    <row r="13" spans="1:14" ht="17.25" thickTop="1" thickBot="1" x14ac:dyDescent="0.3">
      <c r="A13" s="67"/>
      <c r="B13" s="68"/>
      <c r="C13" s="68"/>
      <c r="D13" s="68"/>
      <c r="E13" s="68"/>
      <c r="F13" s="68"/>
      <c r="G13" s="68"/>
      <c r="H13" s="68"/>
      <c r="I13" s="69"/>
      <c r="K13" s="53" t="s">
        <v>266</v>
      </c>
      <c r="L13" s="1">
        <v>45805</v>
      </c>
      <c r="M13">
        <v>50</v>
      </c>
      <c r="N13" s="37" t="s">
        <v>58</v>
      </c>
    </row>
    <row r="14" spans="1:14" ht="16.5" thickBot="1" x14ac:dyDescent="0.3">
      <c r="K14" s="53" t="s">
        <v>266</v>
      </c>
      <c r="L14" s="1">
        <v>45835</v>
      </c>
      <c r="M14">
        <v>50</v>
      </c>
      <c r="N14" s="37" t="s">
        <v>58</v>
      </c>
    </row>
    <row r="15" spans="1:14" ht="16.5" thickBot="1" x14ac:dyDescent="0.3">
      <c r="A15" s="47" t="s">
        <v>67</v>
      </c>
      <c r="B15" s="48" t="s">
        <v>13</v>
      </c>
      <c r="C15" s="48" t="s">
        <v>14</v>
      </c>
      <c r="D15" s="48" t="s">
        <v>15</v>
      </c>
      <c r="E15" s="48" t="s">
        <v>16</v>
      </c>
      <c r="F15" s="48" t="s">
        <v>68</v>
      </c>
      <c r="G15" s="48"/>
      <c r="H15" s="35"/>
      <c r="K15" s="53" t="s">
        <v>266</v>
      </c>
      <c r="L15" s="1">
        <v>45779</v>
      </c>
      <c r="M15">
        <v>50</v>
      </c>
      <c r="N15" s="37" t="s">
        <v>22</v>
      </c>
    </row>
    <row r="16" spans="1:14" x14ac:dyDescent="0.25">
      <c r="A16" s="36" t="s">
        <v>264</v>
      </c>
      <c r="B16">
        <f>466.07+740</f>
        <v>1206.07</v>
      </c>
      <c r="C16">
        <v>954.70799999999997</v>
      </c>
      <c r="D16">
        <v>269.44200000000001</v>
      </c>
      <c r="E16">
        <v>2649.7179999999998</v>
      </c>
      <c r="H16" s="37"/>
      <c r="K16" s="53" t="s">
        <v>266</v>
      </c>
      <c r="L16" s="1">
        <v>45821</v>
      </c>
      <c r="M16">
        <v>25</v>
      </c>
      <c r="N16" s="37" t="s">
        <v>22</v>
      </c>
    </row>
    <row r="17" spans="1:14" x14ac:dyDescent="0.25">
      <c r="A17" s="36" t="s">
        <v>69</v>
      </c>
      <c r="H17" s="37"/>
      <c r="K17" s="36"/>
      <c r="N17" s="37"/>
    </row>
    <row r="18" spans="1:14" x14ac:dyDescent="0.25">
      <c r="A18" s="36" t="s">
        <v>70</v>
      </c>
      <c r="E18">
        <f>241+241+241</f>
        <v>723</v>
      </c>
      <c r="H18" s="37"/>
      <c r="K18" s="36"/>
      <c r="N18" s="37"/>
    </row>
    <row r="19" spans="1:14" s="3" customFormat="1" x14ac:dyDescent="0.25">
      <c r="A19" s="49" t="s">
        <v>71</v>
      </c>
      <c r="D19" s="3">
        <f>SUM(D16:D18)</f>
        <v>269.44200000000001</v>
      </c>
      <c r="E19" s="3">
        <f>SUM(E16:E18)</f>
        <v>3372.7179999999998</v>
      </c>
      <c r="H19" s="50">
        <f>D19/$D$12</f>
        <v>1.0003844902318104E-3</v>
      </c>
      <c r="J19"/>
      <c r="K19" s="36"/>
      <c r="L19"/>
      <c r="M19"/>
      <c r="N19" s="37"/>
    </row>
    <row r="20" spans="1:14" x14ac:dyDescent="0.25">
      <c r="A20" s="36" t="s">
        <v>72</v>
      </c>
      <c r="B20" t="s">
        <v>72</v>
      </c>
      <c r="C20" t="s">
        <v>73</v>
      </c>
      <c r="H20" s="37"/>
      <c r="K20" s="36"/>
      <c r="N20" s="37"/>
    </row>
    <row r="21" spans="1:14" x14ac:dyDescent="0.25">
      <c r="A21" s="36" t="s">
        <v>74</v>
      </c>
      <c r="B21" s="51">
        <v>5215</v>
      </c>
      <c r="C21" s="51">
        <v>466.07</v>
      </c>
      <c r="H21" s="37"/>
      <c r="K21" s="36"/>
      <c r="N21" s="37"/>
    </row>
    <row r="22" spans="1:14" x14ac:dyDescent="0.25">
      <c r="A22" s="36" t="s">
        <v>75</v>
      </c>
      <c r="B22" s="51">
        <v>0</v>
      </c>
      <c r="C22" s="51">
        <v>740</v>
      </c>
      <c r="H22" s="37"/>
      <c r="K22" s="36"/>
      <c r="N22" s="37"/>
    </row>
    <row r="23" spans="1:14" ht="16.5" thickBot="1" x14ac:dyDescent="0.3">
      <c r="A23" s="36" t="s">
        <v>76</v>
      </c>
      <c r="B23" s="51">
        <v>19030</v>
      </c>
      <c r="C23" s="51">
        <v>954.70799999999997</v>
      </c>
      <c r="H23" s="37"/>
      <c r="K23" s="38"/>
      <c r="L23" s="39"/>
      <c r="M23" s="72">
        <f>SUM(M2:M22)</f>
        <v>660</v>
      </c>
      <c r="N23" s="40" t="s">
        <v>77</v>
      </c>
    </row>
    <row r="24" spans="1:14" x14ac:dyDescent="0.25">
      <c r="A24" s="36" t="s">
        <v>78</v>
      </c>
      <c r="B24" s="51">
        <v>6140</v>
      </c>
      <c r="C24" s="51">
        <v>269.44200000000001</v>
      </c>
      <c r="H24" s="37"/>
      <c r="K24" t="s">
        <v>79</v>
      </c>
    </row>
    <row r="25" spans="1:14" x14ac:dyDescent="0.25">
      <c r="A25" s="36" t="s">
        <v>80</v>
      </c>
      <c r="B25" s="51">
        <v>48357</v>
      </c>
      <c r="C25" s="51">
        <v>2649.7179999999998</v>
      </c>
      <c r="H25" s="37"/>
    </row>
    <row r="26" spans="1:14" ht="16.5" thickBot="1" x14ac:dyDescent="0.3">
      <c r="A26" s="38"/>
      <c r="B26" s="52">
        <f>SUM(B21:B24)</f>
        <v>30385</v>
      </c>
      <c r="C26" s="52">
        <f>SUM(C21:C24)</f>
        <v>2430.2199999999998</v>
      </c>
      <c r="D26" s="39"/>
      <c r="E26" s="39"/>
      <c r="F26" s="39"/>
      <c r="G26" s="39"/>
      <c r="H26" s="40"/>
    </row>
    <row r="27" spans="1:14" ht="16.5" thickBot="1" x14ac:dyDescent="0.3">
      <c r="B27" s="51"/>
      <c r="C27" s="51"/>
    </row>
    <row r="28" spans="1:14" x14ac:dyDescent="0.25">
      <c r="A28" s="53" t="s">
        <v>265</v>
      </c>
      <c r="B28" s="35" t="s">
        <v>81</v>
      </c>
    </row>
    <row r="29" spans="1:14" ht="16.5" thickBot="1" x14ac:dyDescent="0.3">
      <c r="A29" s="38" t="s">
        <v>82</v>
      </c>
      <c r="B29" s="54">
        <v>47</v>
      </c>
    </row>
    <row r="30" spans="1:14" ht="16.5" thickBot="1" x14ac:dyDescent="0.3">
      <c r="B30" s="42"/>
    </row>
    <row r="31" spans="1:14" x14ac:dyDescent="0.25">
      <c r="A31" s="34" t="s">
        <v>83</v>
      </c>
      <c r="B31" s="48"/>
      <c r="C31" s="48"/>
      <c r="D31" s="48"/>
      <c r="E31" s="35"/>
    </row>
    <row r="32" spans="1:14" x14ac:dyDescent="0.25">
      <c r="A32" s="36" t="s">
        <v>12</v>
      </c>
      <c r="B32" t="s">
        <v>13</v>
      </c>
      <c r="C32" t="s">
        <v>14</v>
      </c>
      <c r="D32" t="s">
        <v>15</v>
      </c>
      <c r="E32" s="37" t="s">
        <v>16</v>
      </c>
      <c r="I32" s="3"/>
    </row>
    <row r="33" spans="1:11" x14ac:dyDescent="0.25">
      <c r="A33" s="36" t="s">
        <v>19</v>
      </c>
      <c r="B33">
        <v>16000</v>
      </c>
      <c r="C33">
        <v>44000</v>
      </c>
      <c r="D33">
        <v>45000</v>
      </c>
      <c r="E33" s="37">
        <f>'Skip Waste AVG Const'!AD3</f>
        <v>46000</v>
      </c>
      <c r="I33" s="46"/>
    </row>
    <row r="34" spans="1:11" x14ac:dyDescent="0.25">
      <c r="A34" s="36" t="s">
        <v>21</v>
      </c>
      <c r="B34">
        <v>69000</v>
      </c>
      <c r="C34">
        <v>57000</v>
      </c>
      <c r="D34">
        <v>50000</v>
      </c>
      <c r="E34" s="37">
        <f>'Skip Waste AVG Const'!AD4</f>
        <v>56000</v>
      </c>
      <c r="I34" s="46"/>
    </row>
    <row r="35" spans="1:11" x14ac:dyDescent="0.25">
      <c r="A35" s="36" t="s">
        <v>23</v>
      </c>
      <c r="B35">
        <v>3000</v>
      </c>
      <c r="C35">
        <v>4000</v>
      </c>
      <c r="D35">
        <v>6000</v>
      </c>
      <c r="E35" s="37">
        <f>'Skip Waste AVG Const'!AD5</f>
        <v>6000</v>
      </c>
      <c r="I35" s="46"/>
      <c r="K35" s="41"/>
    </row>
    <row r="36" spans="1:11" x14ac:dyDescent="0.25">
      <c r="A36" s="36" t="s">
        <v>25</v>
      </c>
      <c r="B36">
        <v>40000</v>
      </c>
      <c r="C36">
        <v>16000</v>
      </c>
      <c r="D36">
        <v>11000</v>
      </c>
      <c r="E36" s="37">
        <f>'Skip Waste AVG Const'!AD6</f>
        <v>8000</v>
      </c>
      <c r="I36" s="46"/>
    </row>
    <row r="37" spans="1:11" x14ac:dyDescent="0.25">
      <c r="A37" s="36" t="s">
        <v>27</v>
      </c>
      <c r="B37">
        <v>16000</v>
      </c>
      <c r="C37">
        <v>24000</v>
      </c>
      <c r="D37">
        <v>15000</v>
      </c>
      <c r="E37" s="37">
        <f>'Skip Waste AVG Const'!AD7</f>
        <v>20000</v>
      </c>
      <c r="I37" s="46"/>
    </row>
    <row r="38" spans="1:11" x14ac:dyDescent="0.25">
      <c r="A38" s="36" t="s">
        <v>28</v>
      </c>
      <c r="B38">
        <v>4000</v>
      </c>
      <c r="C38">
        <v>0</v>
      </c>
      <c r="D38">
        <v>0</v>
      </c>
      <c r="E38" s="37">
        <f>'Skip Waste AVG Const'!AD8</f>
        <v>0</v>
      </c>
      <c r="I38" s="46"/>
    </row>
    <row r="39" spans="1:11" x14ac:dyDescent="0.25">
      <c r="A39" s="36" t="s">
        <v>29</v>
      </c>
      <c r="B39">
        <v>0</v>
      </c>
      <c r="C39">
        <v>0</v>
      </c>
      <c r="D39">
        <v>12000</v>
      </c>
      <c r="E39" s="37">
        <f>'Skip Waste AVG Const'!AD9</f>
        <v>3000</v>
      </c>
      <c r="I39" s="46"/>
      <c r="K39" s="41"/>
    </row>
    <row r="40" spans="1:11" x14ac:dyDescent="0.25">
      <c r="A40" s="36" t="s">
        <v>31</v>
      </c>
      <c r="B40">
        <v>0</v>
      </c>
      <c r="C40">
        <v>0</v>
      </c>
      <c r="D40">
        <v>4000</v>
      </c>
      <c r="E40" s="37">
        <f>'Skip Waste AVG Const'!AD10</f>
        <v>58500</v>
      </c>
      <c r="F40" s="46"/>
    </row>
    <row r="41" spans="1:11" x14ac:dyDescent="0.25">
      <c r="A41" s="36" t="s">
        <v>33</v>
      </c>
      <c r="E41" s="37">
        <f>'Skip Waste AVG Const'!AD11</f>
        <v>10000</v>
      </c>
      <c r="F41" s="43"/>
    </row>
    <row r="42" spans="1:11" x14ac:dyDescent="0.25">
      <c r="A42" s="36" t="s">
        <v>84</v>
      </c>
      <c r="E42" s="37"/>
      <c r="F42" s="43"/>
    </row>
    <row r="43" spans="1:11" x14ac:dyDescent="0.25">
      <c r="A43" s="36" t="s">
        <v>45</v>
      </c>
      <c r="E43" s="37"/>
      <c r="F43" s="43"/>
    </row>
    <row r="44" spans="1:11" x14ac:dyDescent="0.25">
      <c r="A44" s="36" t="s">
        <v>48</v>
      </c>
      <c r="E44" s="37"/>
      <c r="F44" s="43"/>
    </row>
    <row r="45" spans="1:11" x14ac:dyDescent="0.25">
      <c r="A45" s="36" t="s">
        <v>49</v>
      </c>
      <c r="E45" s="37"/>
      <c r="F45" s="43"/>
    </row>
    <row r="46" spans="1:11" x14ac:dyDescent="0.25">
      <c r="A46" s="36" t="s">
        <v>50</v>
      </c>
      <c r="E46" s="37"/>
      <c r="F46" s="43"/>
    </row>
    <row r="47" spans="1:11" x14ac:dyDescent="0.25">
      <c r="A47" s="36" t="s">
        <v>85</v>
      </c>
      <c r="E47" s="37"/>
      <c r="F47" s="43"/>
    </row>
    <row r="48" spans="1:11" x14ac:dyDescent="0.25">
      <c r="A48" s="36" t="s">
        <v>86</v>
      </c>
      <c r="E48" s="37"/>
    </row>
    <row r="49" spans="1:5" x14ac:dyDescent="0.25">
      <c r="A49" s="36"/>
      <c r="E49" s="37"/>
    </row>
    <row r="50" spans="1:5" x14ac:dyDescent="0.25">
      <c r="A50" s="36"/>
      <c r="E50" s="37"/>
    </row>
    <row r="51" spans="1:5" x14ac:dyDescent="0.25">
      <c r="A51" s="36"/>
      <c r="E51" s="37"/>
    </row>
    <row r="52" spans="1:5" x14ac:dyDescent="0.25">
      <c r="A52" s="36"/>
      <c r="E52" s="37"/>
    </row>
    <row r="53" spans="1:5" ht="16.5" thickBot="1" x14ac:dyDescent="0.3">
      <c r="A53" s="36" t="s">
        <v>37</v>
      </c>
      <c r="B53">
        <v>148000</v>
      </c>
      <c r="C53">
        <v>145000</v>
      </c>
      <c r="D53">
        <v>143000</v>
      </c>
      <c r="E53" s="70">
        <f>E33+E34+E37+E39+E40+E41</f>
        <v>193500</v>
      </c>
    </row>
    <row r="54" spans="1:5" ht="17.25" thickTop="1" thickBot="1" x14ac:dyDescent="0.3">
      <c r="A54" s="36" t="s">
        <v>38</v>
      </c>
      <c r="B54" s="44">
        <v>296000</v>
      </c>
      <c r="C54" s="44">
        <v>290000</v>
      </c>
      <c r="D54" s="44">
        <v>286000</v>
      </c>
      <c r="E54" s="37"/>
    </row>
    <row r="55" spans="1:5" ht="16.5" thickTop="1" x14ac:dyDescent="0.25">
      <c r="A55" s="36"/>
      <c r="D55">
        <v>292420</v>
      </c>
      <c r="E55" s="37"/>
    </row>
    <row r="56" spans="1:5" ht="16.5" thickBot="1" x14ac:dyDescent="0.3">
      <c r="A56" s="38"/>
      <c r="B56" s="39"/>
      <c r="C56" s="39"/>
      <c r="D56" s="39"/>
      <c r="E56" s="40"/>
    </row>
  </sheetData>
  <autoFilter ref="K1:N1" xr:uid="{E396B36A-ABE7-4DBA-985B-A09BE2AD0943}">
    <sortState xmlns:xlrd2="http://schemas.microsoft.com/office/spreadsheetml/2017/richdata2" ref="K2:N12">
      <sortCondition ref="L1"/>
    </sortState>
  </autoFilter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52CA-F8C1-48E9-B5E5-A0147478E32D}">
  <dimension ref="A1:O47"/>
  <sheetViews>
    <sheetView workbookViewId="0">
      <selection activeCell="C10" sqref="C10"/>
    </sheetView>
  </sheetViews>
  <sheetFormatPr defaultRowHeight="15.75" x14ac:dyDescent="0.25"/>
  <cols>
    <col min="1" max="1" width="10.125" bestFit="1" customWidth="1"/>
    <col min="6" max="6" width="14.625" customWidth="1"/>
    <col min="7" max="7" width="13.75" customWidth="1"/>
    <col min="8" max="8" width="13.125" bestFit="1" customWidth="1"/>
    <col min="9" max="9" width="10.375" bestFit="1" customWidth="1"/>
    <col min="11" max="11" width="10.75" bestFit="1" customWidth="1"/>
    <col min="14" max="14" width="10.375" bestFit="1" customWidth="1"/>
    <col min="16" max="16" width="10.75" bestFit="1" customWidth="1"/>
  </cols>
  <sheetData>
    <row r="1" spans="1:14" x14ac:dyDescent="0.25">
      <c r="A1" t="s">
        <v>263</v>
      </c>
      <c r="F1" t="s">
        <v>87</v>
      </c>
      <c r="H1" t="s">
        <v>88</v>
      </c>
    </row>
    <row r="2" spans="1:14" x14ac:dyDescent="0.25">
      <c r="A2" t="s">
        <v>4</v>
      </c>
      <c r="B2" t="s">
        <v>89</v>
      </c>
      <c r="C2" t="s">
        <v>90</v>
      </c>
      <c r="D2" t="s">
        <v>91</v>
      </c>
      <c r="E2" t="s">
        <v>92</v>
      </c>
      <c r="F2" t="s">
        <v>93</v>
      </c>
      <c r="G2">
        <f>738+542+710+768</f>
        <v>2758</v>
      </c>
      <c r="H2" t="s">
        <v>93</v>
      </c>
      <c r="I2">
        <f>697+17</f>
        <v>714</v>
      </c>
    </row>
    <row r="3" spans="1:14" x14ac:dyDescent="0.25">
      <c r="A3" t="s">
        <v>268</v>
      </c>
      <c r="B3">
        <f>G14</f>
        <v>12158</v>
      </c>
      <c r="C3">
        <v>23498.5</v>
      </c>
      <c r="D3">
        <v>19280</v>
      </c>
      <c r="E3">
        <f>I14</f>
        <v>25349</v>
      </c>
      <c r="F3" t="s">
        <v>94</v>
      </c>
      <c r="G3">
        <f>1100+600+300+600</f>
        <v>2600</v>
      </c>
      <c r="H3" t="s">
        <v>94</v>
      </c>
      <c r="I3">
        <f>1870+720+600+831</f>
        <v>4021</v>
      </c>
      <c r="N3" s="1"/>
    </row>
    <row r="4" spans="1:14" x14ac:dyDescent="0.25">
      <c r="F4" t="s">
        <v>95</v>
      </c>
      <c r="G4">
        <f>2100+500+600+800</f>
        <v>4000</v>
      </c>
      <c r="H4" t="s">
        <v>95</v>
      </c>
      <c r="I4">
        <f>960+480+420+694</f>
        <v>2554</v>
      </c>
      <c r="N4" s="1"/>
    </row>
    <row r="5" spans="1:14" x14ac:dyDescent="0.25">
      <c r="F5" t="s">
        <v>96</v>
      </c>
      <c r="G5">
        <f>1500+300+600+400</f>
        <v>2800</v>
      </c>
      <c r="H5" t="s">
        <v>96</v>
      </c>
      <c r="I5">
        <f>925+248+360+394</f>
        <v>1927</v>
      </c>
      <c r="N5" s="1"/>
    </row>
    <row r="6" spans="1:14" x14ac:dyDescent="0.25">
      <c r="F6" t="s">
        <v>97</v>
      </c>
      <c r="G6">
        <f>2500+600+800+800</f>
        <v>4700</v>
      </c>
      <c r="H6" t="s">
        <v>97</v>
      </c>
      <c r="I6">
        <f>720+240+240+720</f>
        <v>1920</v>
      </c>
      <c r="N6" s="1"/>
    </row>
    <row r="7" spans="1:14" x14ac:dyDescent="0.25">
      <c r="F7" t="s">
        <v>98</v>
      </c>
      <c r="G7">
        <f>1000+300+600+600</f>
        <v>2500</v>
      </c>
      <c r="H7" t="s">
        <v>98</v>
      </c>
      <c r="I7">
        <f>1440+480+240+420</f>
        <v>2580</v>
      </c>
      <c r="N7" s="1"/>
    </row>
    <row r="8" spans="1:14" x14ac:dyDescent="0.25">
      <c r="F8" t="s">
        <v>99</v>
      </c>
      <c r="G8">
        <f>1600+300+600+800</f>
        <v>3300</v>
      </c>
      <c r="H8" t="s">
        <v>99</v>
      </c>
      <c r="I8">
        <f>1080+367+480+610</f>
        <v>2537</v>
      </c>
      <c r="N8" s="1"/>
    </row>
    <row r="9" spans="1:14" x14ac:dyDescent="0.25">
      <c r="F9" t="s">
        <v>100</v>
      </c>
      <c r="G9">
        <f>2000+521+600+900</f>
        <v>4021</v>
      </c>
      <c r="H9" t="s">
        <v>100</v>
      </c>
      <c r="I9">
        <f>660+240+360+180</f>
        <v>1440</v>
      </c>
      <c r="N9" s="1"/>
    </row>
    <row r="10" spans="1:14" x14ac:dyDescent="0.25">
      <c r="F10" t="s">
        <v>101</v>
      </c>
      <c r="G10">
        <f>2621+653+1000+1251</f>
        <v>5525</v>
      </c>
      <c r="H10" t="s">
        <v>101</v>
      </c>
      <c r="I10">
        <f>629+420+540+360+360</f>
        <v>2309</v>
      </c>
      <c r="N10" s="1"/>
    </row>
    <row r="11" spans="1:14" x14ac:dyDescent="0.25">
      <c r="F11" t="s">
        <v>102</v>
      </c>
      <c r="G11">
        <f>2200+500+700+1219</f>
        <v>4619</v>
      </c>
      <c r="H11" t="s">
        <v>102</v>
      </c>
      <c r="I11">
        <f>238+480+300+323+300+51+640</f>
        <v>2332</v>
      </c>
      <c r="N11" s="1"/>
    </row>
    <row r="12" spans="1:14" x14ac:dyDescent="0.25">
      <c r="F12" t="s">
        <v>103</v>
      </c>
      <c r="G12">
        <f>1923+800+1195+885</f>
        <v>4803</v>
      </c>
      <c r="H12" t="s">
        <v>103</v>
      </c>
      <c r="I12">
        <f>1020+540+360+480+255+360</f>
        <v>3015</v>
      </c>
      <c r="N12" s="1"/>
    </row>
    <row r="13" spans="1:14" x14ac:dyDescent="0.25">
      <c r="F13" t="s">
        <v>104</v>
      </c>
      <c r="G13">
        <f>1445+200+250</f>
        <v>1895</v>
      </c>
      <c r="H13" t="s">
        <v>104</v>
      </c>
      <c r="N13" s="1"/>
    </row>
    <row r="14" spans="1:14" x14ac:dyDescent="0.25">
      <c r="G14">
        <f>SUM(G2:G5)</f>
        <v>12158</v>
      </c>
      <c r="I14">
        <f>SUM(I2:I13)</f>
        <v>25349</v>
      </c>
      <c r="N14" s="1"/>
    </row>
    <row r="15" spans="1:14" x14ac:dyDescent="0.25">
      <c r="I15" s="1"/>
      <c r="N15" s="1"/>
    </row>
    <row r="16" spans="1:14" x14ac:dyDescent="0.25">
      <c r="I16" s="1"/>
      <c r="N16" s="1"/>
    </row>
    <row r="17" spans="9:15" x14ac:dyDescent="0.25">
      <c r="I17" s="1"/>
      <c r="N17" s="1"/>
    </row>
    <row r="18" spans="9:15" x14ac:dyDescent="0.25">
      <c r="I18" s="1"/>
      <c r="N18" s="1"/>
    </row>
    <row r="19" spans="9:15" x14ac:dyDescent="0.25">
      <c r="I19" s="1"/>
      <c r="N19" s="1"/>
    </row>
    <row r="20" spans="9:15" x14ac:dyDescent="0.25">
      <c r="I20" s="1"/>
      <c r="N20" s="1"/>
    </row>
    <row r="21" spans="9:15" x14ac:dyDescent="0.25">
      <c r="I21" s="1"/>
      <c r="O21" s="2"/>
    </row>
    <row r="22" spans="9:15" x14ac:dyDescent="0.25">
      <c r="I22" s="1"/>
    </row>
    <row r="23" spans="9:15" x14ac:dyDescent="0.25">
      <c r="I23" s="1"/>
    </row>
    <row r="24" spans="9:15" x14ac:dyDescent="0.25">
      <c r="J24" s="2"/>
    </row>
    <row r="46" spans="8:11" x14ac:dyDescent="0.25">
      <c r="H46" t="s">
        <v>105</v>
      </c>
      <c r="I46" s="1">
        <v>45097</v>
      </c>
      <c r="J46">
        <v>1</v>
      </c>
      <c r="K46" t="s">
        <v>106</v>
      </c>
    </row>
    <row r="47" spans="8:11" x14ac:dyDescent="0.25">
      <c r="I47" s="1">
        <v>45470</v>
      </c>
      <c r="J47">
        <v>1</v>
      </c>
      <c r="K47" t="s">
        <v>106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6566-DDB9-4D21-BECD-322D7262E97C}">
  <dimension ref="A1:V193"/>
  <sheetViews>
    <sheetView workbookViewId="0">
      <selection activeCell="O30" sqref="O30"/>
    </sheetView>
  </sheetViews>
  <sheetFormatPr defaultRowHeight="15.75" x14ac:dyDescent="0.25"/>
  <cols>
    <col min="4" max="4" width="9" style="8"/>
    <col min="5" max="5" width="10.75" style="8" customWidth="1"/>
    <col min="6" max="6" width="9.625" style="8" customWidth="1"/>
    <col min="7" max="7" width="11.25" style="8" customWidth="1"/>
    <col min="8" max="8" width="14" bestFit="1" customWidth="1"/>
    <col min="9" max="9" width="10.125" style="8" customWidth="1"/>
    <col min="10" max="12" width="11.25" style="8" customWidth="1"/>
    <col min="13" max="13" width="9.875" bestFit="1" customWidth="1"/>
    <col min="18" max="18" width="11.875" bestFit="1" customWidth="1"/>
    <col min="19" max="19" width="12" bestFit="1" customWidth="1"/>
    <col min="21" max="21" width="9.375" bestFit="1" customWidth="1"/>
  </cols>
  <sheetData>
    <row r="1" spans="1:22" ht="16.5" thickBot="1" x14ac:dyDescent="0.3">
      <c r="D1" s="8" t="s">
        <v>108</v>
      </c>
    </row>
    <row r="2" spans="1:22" ht="31.5" x14ac:dyDescent="0.25">
      <c r="A2" s="4" t="s">
        <v>107</v>
      </c>
      <c r="B2" s="4" t="s">
        <v>11</v>
      </c>
      <c r="C2" s="4" t="s">
        <v>109</v>
      </c>
      <c r="D2" s="4" t="s">
        <v>8</v>
      </c>
      <c r="E2" s="14" t="s">
        <v>110</v>
      </c>
      <c r="F2" s="14" t="s">
        <v>111</v>
      </c>
      <c r="G2" s="14" t="s">
        <v>112</v>
      </c>
      <c r="H2" s="15" t="s">
        <v>111</v>
      </c>
      <c r="I2" s="14" t="s">
        <v>113</v>
      </c>
      <c r="J2" s="14" t="s">
        <v>111</v>
      </c>
      <c r="K2" s="14" t="s">
        <v>114</v>
      </c>
      <c r="L2" s="14" t="s">
        <v>111</v>
      </c>
      <c r="M2" s="76"/>
      <c r="O2" s="53">
        <v>2025</v>
      </c>
      <c r="P2" s="55" t="s">
        <v>8</v>
      </c>
      <c r="Q2" s="56" t="s">
        <v>37</v>
      </c>
      <c r="S2" s="3" t="s">
        <v>115</v>
      </c>
      <c r="T2" s="3" t="s">
        <v>8</v>
      </c>
      <c r="U2" s="3" t="s">
        <v>37</v>
      </c>
    </row>
    <row r="3" spans="1:22" x14ac:dyDescent="0.25">
      <c r="A3" t="s">
        <v>116</v>
      </c>
      <c r="D3" s="5" t="s">
        <v>117</v>
      </c>
      <c r="E3" s="11"/>
      <c r="F3" s="13"/>
      <c r="G3" s="11" t="s">
        <v>118</v>
      </c>
      <c r="H3" s="13">
        <v>3.1</v>
      </c>
      <c r="I3" s="11" t="s">
        <v>118</v>
      </c>
      <c r="J3" s="13">
        <v>3.1</v>
      </c>
      <c r="K3" s="11" t="s">
        <v>119</v>
      </c>
      <c r="L3" s="13">
        <v>0.7</v>
      </c>
      <c r="M3" s="73"/>
      <c r="O3" s="36" t="s">
        <v>120</v>
      </c>
      <c r="P3" t="s">
        <v>121</v>
      </c>
      <c r="Q3" s="37">
        <v>470.40000000000009</v>
      </c>
      <c r="S3" t="s">
        <v>122</v>
      </c>
      <c r="T3" t="s">
        <v>117</v>
      </c>
      <c r="U3">
        <v>34.299999999999997</v>
      </c>
      <c r="V3" t="s">
        <v>123</v>
      </c>
    </row>
    <row r="4" spans="1:22" x14ac:dyDescent="0.25">
      <c r="A4" t="s">
        <v>116</v>
      </c>
      <c r="D4" s="11" t="s">
        <v>117</v>
      </c>
      <c r="E4" s="22"/>
      <c r="F4" s="13"/>
      <c r="G4" s="22" t="s">
        <v>118</v>
      </c>
      <c r="H4" s="13">
        <v>3.1</v>
      </c>
      <c r="I4" s="22" t="s">
        <v>118</v>
      </c>
      <c r="J4" s="13">
        <v>3.1</v>
      </c>
      <c r="K4" s="22" t="s">
        <v>124</v>
      </c>
      <c r="L4" s="13">
        <v>1.6</v>
      </c>
      <c r="M4" s="73"/>
      <c r="O4" s="36" t="s">
        <v>125</v>
      </c>
      <c r="P4" t="s">
        <v>126</v>
      </c>
      <c r="Q4" s="37">
        <v>1.3066715</v>
      </c>
      <c r="S4" t="s">
        <v>122</v>
      </c>
      <c r="T4" t="s">
        <v>127</v>
      </c>
      <c r="U4" s="73">
        <v>107</v>
      </c>
    </row>
    <row r="5" spans="1:22" x14ac:dyDescent="0.25">
      <c r="A5" t="s">
        <v>116</v>
      </c>
      <c r="D5" s="11" t="s">
        <v>117</v>
      </c>
      <c r="E5" s="22"/>
      <c r="F5" s="13"/>
      <c r="G5" s="22" t="s">
        <v>128</v>
      </c>
      <c r="H5" s="13">
        <v>4</v>
      </c>
      <c r="I5" s="22" t="s">
        <v>128</v>
      </c>
      <c r="J5" s="13">
        <v>4</v>
      </c>
      <c r="K5" s="22" t="s">
        <v>129</v>
      </c>
      <c r="L5" s="13">
        <v>16</v>
      </c>
      <c r="M5" s="73"/>
      <c r="O5" s="36" t="s">
        <v>125</v>
      </c>
      <c r="P5" t="s">
        <v>130</v>
      </c>
      <c r="Q5" s="37">
        <v>1.736394</v>
      </c>
      <c r="S5" t="s">
        <v>131</v>
      </c>
      <c r="T5" t="s">
        <v>132</v>
      </c>
      <c r="U5">
        <v>5</v>
      </c>
      <c r="V5" t="s">
        <v>123</v>
      </c>
    </row>
    <row r="6" spans="1:22" x14ac:dyDescent="0.25">
      <c r="A6" t="s">
        <v>116</v>
      </c>
      <c r="D6" s="5" t="s">
        <v>117</v>
      </c>
      <c r="E6" s="11"/>
      <c r="F6" s="13"/>
      <c r="G6" s="11" t="s">
        <v>128</v>
      </c>
      <c r="H6" s="13">
        <v>4</v>
      </c>
      <c r="I6" s="11" t="s">
        <v>128</v>
      </c>
      <c r="J6" s="13">
        <v>4</v>
      </c>
      <c r="K6" s="11" t="s">
        <v>129</v>
      </c>
      <c r="L6" s="13">
        <v>16</v>
      </c>
      <c r="M6" s="73">
        <f>SUM(L3:L6)</f>
        <v>34.299999999999997</v>
      </c>
      <c r="O6" s="36" t="s">
        <v>125</v>
      </c>
      <c r="P6" t="s">
        <v>133</v>
      </c>
      <c r="Q6" s="37">
        <v>7.1000000000000005E-5</v>
      </c>
      <c r="S6" t="s">
        <v>134</v>
      </c>
      <c r="T6" t="s">
        <v>135</v>
      </c>
      <c r="U6">
        <v>325.40652999999998</v>
      </c>
      <c r="V6" t="s">
        <v>123</v>
      </c>
    </row>
    <row r="7" spans="1:22" x14ac:dyDescent="0.25">
      <c r="A7" t="s">
        <v>116</v>
      </c>
      <c r="D7" s="5" t="s">
        <v>127</v>
      </c>
      <c r="E7" s="11"/>
      <c r="F7" s="13"/>
      <c r="G7" s="11" t="s">
        <v>136</v>
      </c>
      <c r="H7" s="13">
        <v>2.2000000000000002</v>
      </c>
      <c r="I7" s="11" t="s">
        <v>136</v>
      </c>
      <c r="J7" s="13">
        <v>2.2000000000000002</v>
      </c>
      <c r="K7" s="11" t="s">
        <v>129</v>
      </c>
      <c r="L7" s="13">
        <v>16</v>
      </c>
      <c r="M7" s="73"/>
      <c r="O7" s="36" t="s">
        <v>120</v>
      </c>
      <c r="P7" t="s">
        <v>117</v>
      </c>
      <c r="Q7" s="37">
        <v>59.150000000000006</v>
      </c>
      <c r="S7" t="s">
        <v>134</v>
      </c>
      <c r="T7" t="s">
        <v>117</v>
      </c>
      <c r="U7">
        <v>2.016E-3</v>
      </c>
      <c r="V7" t="s">
        <v>123</v>
      </c>
    </row>
    <row r="8" spans="1:22" x14ac:dyDescent="0.25">
      <c r="A8" t="s">
        <v>116</v>
      </c>
      <c r="D8" s="5" t="s">
        <v>127</v>
      </c>
      <c r="E8" s="11"/>
      <c r="F8" s="13"/>
      <c r="G8" s="11" t="s">
        <v>136</v>
      </c>
      <c r="H8" s="13">
        <v>2.2000000000000002</v>
      </c>
      <c r="I8" s="11" t="s">
        <v>136</v>
      </c>
      <c r="J8" s="13">
        <v>2.2000000000000002</v>
      </c>
      <c r="K8" s="11" t="s">
        <v>129</v>
      </c>
      <c r="L8" s="13">
        <v>16</v>
      </c>
      <c r="M8" s="73"/>
      <c r="O8" s="36" t="s">
        <v>125</v>
      </c>
      <c r="P8" t="s">
        <v>137</v>
      </c>
      <c r="Q8" s="37">
        <v>15.800924999999999</v>
      </c>
      <c r="S8" t="s">
        <v>134</v>
      </c>
      <c r="T8" t="s">
        <v>127</v>
      </c>
      <c r="U8" s="73">
        <v>24.884591</v>
      </c>
    </row>
    <row r="9" spans="1:22" x14ac:dyDescent="0.25">
      <c r="A9" t="s">
        <v>116</v>
      </c>
      <c r="D9" s="5" t="s">
        <v>127</v>
      </c>
      <c r="E9" s="11"/>
      <c r="F9" s="13"/>
      <c r="G9" s="11" t="s">
        <v>138</v>
      </c>
      <c r="H9" s="13">
        <v>5</v>
      </c>
      <c r="I9" s="11" t="s">
        <v>138</v>
      </c>
      <c r="J9" s="13">
        <v>5</v>
      </c>
      <c r="K9" s="11" t="s">
        <v>139</v>
      </c>
      <c r="L9" s="13">
        <v>18</v>
      </c>
      <c r="M9" s="73"/>
      <c r="O9" s="36" t="s">
        <v>120</v>
      </c>
      <c r="P9" t="s">
        <v>140</v>
      </c>
      <c r="Q9" s="37">
        <v>17.3</v>
      </c>
      <c r="S9" t="s">
        <v>141</v>
      </c>
      <c r="T9" t="s">
        <v>132</v>
      </c>
      <c r="U9">
        <v>23.2</v>
      </c>
      <c r="V9" t="s">
        <v>123</v>
      </c>
    </row>
    <row r="10" spans="1:22" x14ac:dyDescent="0.25">
      <c r="A10" t="s">
        <v>116</v>
      </c>
      <c r="D10" s="16" t="s">
        <v>127</v>
      </c>
      <c r="E10" s="11"/>
      <c r="F10" s="13"/>
      <c r="G10" s="11" t="s">
        <v>138</v>
      </c>
      <c r="H10" s="13">
        <v>5</v>
      </c>
      <c r="I10" s="11" t="s">
        <v>138</v>
      </c>
      <c r="J10" s="13">
        <v>5</v>
      </c>
      <c r="K10" s="11" t="s">
        <v>139</v>
      </c>
      <c r="L10" s="13">
        <v>18</v>
      </c>
      <c r="M10" s="73"/>
      <c r="O10" s="36" t="s">
        <v>120</v>
      </c>
      <c r="P10" t="s">
        <v>142</v>
      </c>
      <c r="Q10" s="37">
        <v>241.75069999999999</v>
      </c>
      <c r="S10" t="s">
        <v>141</v>
      </c>
      <c r="T10" t="s">
        <v>130</v>
      </c>
      <c r="U10" s="73">
        <v>2</v>
      </c>
      <c r="V10" t="s">
        <v>143</v>
      </c>
    </row>
    <row r="11" spans="1:22" x14ac:dyDescent="0.25">
      <c r="A11" t="s">
        <v>116</v>
      </c>
      <c r="D11" s="6" t="s">
        <v>127</v>
      </c>
      <c r="E11" s="11"/>
      <c r="F11" s="13"/>
      <c r="G11" s="11" t="s">
        <v>144</v>
      </c>
      <c r="H11" s="13">
        <v>6</v>
      </c>
      <c r="I11" s="11" t="s">
        <v>144</v>
      </c>
      <c r="J11" s="13">
        <v>6</v>
      </c>
      <c r="K11" s="11" t="s">
        <v>145</v>
      </c>
      <c r="L11" s="13">
        <v>19.5</v>
      </c>
      <c r="M11" s="73"/>
      <c r="O11" s="36" t="s">
        <v>125</v>
      </c>
      <c r="P11" t="s">
        <v>146</v>
      </c>
      <c r="Q11" s="37">
        <v>5.5</v>
      </c>
      <c r="S11" t="s">
        <v>141</v>
      </c>
      <c r="T11" t="s">
        <v>147</v>
      </c>
      <c r="U11" s="73">
        <v>10.8</v>
      </c>
    </row>
    <row r="12" spans="1:22" x14ac:dyDescent="0.25">
      <c r="A12" t="s">
        <v>116</v>
      </c>
      <c r="D12" s="17" t="s">
        <v>127</v>
      </c>
      <c r="E12" s="11"/>
      <c r="F12" s="13"/>
      <c r="G12" s="11" t="s">
        <v>148</v>
      </c>
      <c r="H12" s="13">
        <v>8</v>
      </c>
      <c r="I12" s="11" t="s">
        <v>148</v>
      </c>
      <c r="J12" s="13">
        <v>8</v>
      </c>
      <c r="K12" s="11" t="s">
        <v>145</v>
      </c>
      <c r="L12" s="13">
        <v>19.5</v>
      </c>
      <c r="M12" s="73">
        <f>SUM(L7:L12)</f>
        <v>107</v>
      </c>
      <c r="O12" s="36" t="s">
        <v>125</v>
      </c>
      <c r="P12" t="s">
        <v>149</v>
      </c>
      <c r="Q12" s="37">
        <v>2.5600650000000003</v>
      </c>
      <c r="S12" t="s">
        <v>141</v>
      </c>
      <c r="T12" t="s">
        <v>150</v>
      </c>
      <c r="U12">
        <v>0.300425</v>
      </c>
      <c r="V12" t="s">
        <v>123</v>
      </c>
    </row>
    <row r="13" spans="1:22" ht="16.5" thickBot="1" x14ac:dyDescent="0.3">
      <c r="A13" t="s">
        <v>151</v>
      </c>
      <c r="D13" s="5" t="s">
        <v>132</v>
      </c>
      <c r="E13" s="11" t="s">
        <v>152</v>
      </c>
      <c r="F13" s="13">
        <v>0.22500000000000001</v>
      </c>
      <c r="G13" s="11" t="s">
        <v>153</v>
      </c>
      <c r="H13" s="13">
        <v>3.1500000000000001E-4</v>
      </c>
      <c r="I13" s="11" t="s">
        <v>153</v>
      </c>
      <c r="J13" s="13">
        <v>3.1500000000000001E-4</v>
      </c>
      <c r="K13" s="11" t="s">
        <v>154</v>
      </c>
      <c r="L13" s="13">
        <v>2.5</v>
      </c>
      <c r="M13" s="73"/>
      <c r="O13" s="38" t="s">
        <v>125</v>
      </c>
      <c r="P13" s="39" t="s">
        <v>155</v>
      </c>
      <c r="Q13" s="40">
        <v>4.6769999999999996</v>
      </c>
      <c r="S13" t="s">
        <v>141</v>
      </c>
      <c r="T13" t="s">
        <v>156</v>
      </c>
      <c r="U13">
        <v>1.5004999999999999</v>
      </c>
      <c r="V13" t="s">
        <v>123</v>
      </c>
    </row>
    <row r="14" spans="1:22" x14ac:dyDescent="0.25">
      <c r="A14" t="s">
        <v>151</v>
      </c>
      <c r="D14" s="5" t="s">
        <v>132</v>
      </c>
      <c r="E14" s="11"/>
      <c r="F14" s="13"/>
      <c r="G14" s="11" t="s">
        <v>153</v>
      </c>
      <c r="H14" s="13">
        <v>3.1500000000000001E-4</v>
      </c>
      <c r="I14" s="11" t="s">
        <v>153</v>
      </c>
      <c r="J14" s="13">
        <v>3.1500000000000001E-4</v>
      </c>
      <c r="K14" s="11" t="s">
        <v>154</v>
      </c>
      <c r="L14" s="13">
        <v>2.5</v>
      </c>
      <c r="M14" s="73"/>
      <c r="S14" t="s">
        <v>141</v>
      </c>
      <c r="T14" t="s">
        <v>157</v>
      </c>
      <c r="U14" s="73">
        <v>3</v>
      </c>
    </row>
    <row r="15" spans="1:22" x14ac:dyDescent="0.25">
      <c r="A15" t="s">
        <v>151</v>
      </c>
      <c r="D15" s="5" t="s">
        <v>132</v>
      </c>
      <c r="E15" s="11"/>
      <c r="F15" s="13"/>
      <c r="G15" s="11" t="s">
        <v>153</v>
      </c>
      <c r="H15" s="13">
        <v>3.1500000000000001E-4</v>
      </c>
      <c r="I15" s="11" t="s">
        <v>153</v>
      </c>
      <c r="J15" s="13">
        <v>3.1500000000000001E-4</v>
      </c>
      <c r="K15" s="30"/>
      <c r="L15" s="30"/>
      <c r="M15">
        <f>SUM(L13:L14)</f>
        <v>5</v>
      </c>
      <c r="S15" t="s">
        <v>158</v>
      </c>
      <c r="T15" t="s">
        <v>117</v>
      </c>
      <c r="U15">
        <v>8.1999999999999993</v>
      </c>
      <c r="V15" t="s">
        <v>123</v>
      </c>
    </row>
    <row r="16" spans="1:22" x14ac:dyDescent="0.25">
      <c r="A16" t="s">
        <v>151</v>
      </c>
      <c r="D16" s="5" t="s">
        <v>130</v>
      </c>
      <c r="E16" s="11"/>
      <c r="F16" s="13"/>
      <c r="G16" s="11" t="s">
        <v>159</v>
      </c>
      <c r="H16" s="13">
        <v>8.1999999999999998E-4</v>
      </c>
      <c r="I16" s="11" t="s">
        <v>159</v>
      </c>
      <c r="J16" s="13">
        <v>8.1999999999999998E-4</v>
      </c>
      <c r="K16" s="30"/>
      <c r="L16" s="30"/>
      <c r="S16" t="s">
        <v>158</v>
      </c>
      <c r="T16" t="s">
        <v>127</v>
      </c>
      <c r="U16" s="73">
        <v>18.399999999999999</v>
      </c>
    </row>
    <row r="17" spans="1:22" x14ac:dyDescent="0.25">
      <c r="A17" t="s">
        <v>151</v>
      </c>
      <c r="D17" s="5" t="s">
        <v>137</v>
      </c>
      <c r="E17" s="24" t="s">
        <v>160</v>
      </c>
      <c r="F17" s="20">
        <v>1.6</v>
      </c>
      <c r="G17" s="24"/>
      <c r="H17" s="21"/>
      <c r="I17" s="24"/>
      <c r="J17" s="20"/>
      <c r="K17" s="30"/>
      <c r="L17" s="30"/>
      <c r="S17" t="s">
        <v>161</v>
      </c>
      <c r="T17" t="s">
        <v>132</v>
      </c>
      <c r="U17">
        <v>3.6</v>
      </c>
      <c r="V17" t="s">
        <v>123</v>
      </c>
    </row>
    <row r="18" spans="1:22" x14ac:dyDescent="0.25">
      <c r="A18" t="s">
        <v>151</v>
      </c>
      <c r="D18" s="5" t="s">
        <v>137</v>
      </c>
      <c r="E18" s="24" t="s">
        <v>162</v>
      </c>
      <c r="F18" s="20">
        <v>2</v>
      </c>
      <c r="G18" s="24"/>
      <c r="H18" s="21"/>
      <c r="I18" s="24"/>
      <c r="J18" s="20"/>
      <c r="K18" s="30"/>
      <c r="L18" s="30"/>
      <c r="S18" t="s">
        <v>161</v>
      </c>
      <c r="T18" t="s">
        <v>130</v>
      </c>
      <c r="U18" s="73">
        <v>13.9</v>
      </c>
      <c r="V18" t="s">
        <v>143</v>
      </c>
    </row>
    <row r="19" spans="1:22" x14ac:dyDescent="0.25">
      <c r="A19" t="s">
        <v>163</v>
      </c>
      <c r="D19" s="5" t="s">
        <v>121</v>
      </c>
      <c r="E19" s="11" t="s">
        <v>119</v>
      </c>
      <c r="F19" s="13">
        <v>0.7</v>
      </c>
      <c r="G19" s="11" t="s">
        <v>119</v>
      </c>
      <c r="H19" s="13">
        <v>0.7</v>
      </c>
      <c r="I19" s="11" t="s">
        <v>119</v>
      </c>
      <c r="J19" s="13">
        <v>0.7</v>
      </c>
      <c r="K19" s="11" t="s">
        <v>164</v>
      </c>
      <c r="L19" s="13">
        <v>23</v>
      </c>
      <c r="M19" s="73"/>
      <c r="S19" t="s">
        <v>165</v>
      </c>
      <c r="T19" t="s">
        <v>117</v>
      </c>
      <c r="U19">
        <v>55.6</v>
      </c>
      <c r="V19" t="s">
        <v>123</v>
      </c>
    </row>
    <row r="20" spans="1:22" x14ac:dyDescent="0.25">
      <c r="A20" t="s">
        <v>163</v>
      </c>
      <c r="D20" s="5" t="s">
        <v>121</v>
      </c>
      <c r="E20" s="11" t="s">
        <v>124</v>
      </c>
      <c r="F20" s="13">
        <v>1.6</v>
      </c>
      <c r="G20" s="11" t="s">
        <v>124</v>
      </c>
      <c r="H20" s="13">
        <v>1.6</v>
      </c>
      <c r="I20" s="11" t="s">
        <v>124</v>
      </c>
      <c r="J20" s="13">
        <v>1.6</v>
      </c>
      <c r="K20" s="11" t="s">
        <v>164</v>
      </c>
      <c r="L20" s="13">
        <v>23</v>
      </c>
      <c r="M20" s="73"/>
      <c r="S20" t="s">
        <v>165</v>
      </c>
      <c r="T20" t="s">
        <v>140</v>
      </c>
      <c r="U20" s="73">
        <v>6.7</v>
      </c>
    </row>
    <row r="21" spans="1:22" x14ac:dyDescent="0.25">
      <c r="A21" t="s">
        <v>163</v>
      </c>
      <c r="D21" s="5" t="s">
        <v>121</v>
      </c>
      <c r="E21" s="11" t="s">
        <v>129</v>
      </c>
      <c r="F21" s="13">
        <v>16</v>
      </c>
      <c r="G21" s="11" t="s">
        <v>129</v>
      </c>
      <c r="H21" s="13">
        <v>16</v>
      </c>
      <c r="I21" s="11" t="s">
        <v>129</v>
      </c>
      <c r="J21" s="13">
        <v>16</v>
      </c>
      <c r="K21" s="11" t="s">
        <v>164</v>
      </c>
      <c r="L21" s="13">
        <v>23</v>
      </c>
      <c r="M21" s="73"/>
      <c r="S21" t="s">
        <v>165</v>
      </c>
      <c r="T21" t="s">
        <v>127</v>
      </c>
      <c r="U21" s="73">
        <v>41.1</v>
      </c>
    </row>
    <row r="22" spans="1:22" x14ac:dyDescent="0.25">
      <c r="A22" t="s">
        <v>163</v>
      </c>
      <c r="D22" s="5" t="s">
        <v>121</v>
      </c>
      <c r="E22" s="11" t="s">
        <v>129</v>
      </c>
      <c r="F22" s="13">
        <v>16</v>
      </c>
      <c r="G22" s="11" t="s">
        <v>129</v>
      </c>
      <c r="H22" s="13">
        <v>16</v>
      </c>
      <c r="I22" s="11" t="s">
        <v>129</v>
      </c>
      <c r="J22" s="13">
        <v>16</v>
      </c>
      <c r="K22" s="11" t="s">
        <v>164</v>
      </c>
      <c r="L22" s="13">
        <v>23</v>
      </c>
      <c r="M22" s="73"/>
      <c r="S22" t="s">
        <v>166</v>
      </c>
      <c r="T22" t="s">
        <v>167</v>
      </c>
      <c r="U22" s="73">
        <v>5.25</v>
      </c>
      <c r="V22" t="s">
        <v>168</v>
      </c>
    </row>
    <row r="23" spans="1:22" x14ac:dyDescent="0.25">
      <c r="A23" t="s">
        <v>163</v>
      </c>
      <c r="D23" s="5" t="s">
        <v>121</v>
      </c>
      <c r="E23" s="11" t="s">
        <v>129</v>
      </c>
      <c r="F23" s="13">
        <v>16</v>
      </c>
      <c r="G23" s="11" t="s">
        <v>129</v>
      </c>
      <c r="H23" s="13">
        <v>16</v>
      </c>
      <c r="I23" s="11" t="s">
        <v>129</v>
      </c>
      <c r="J23" s="13">
        <v>16</v>
      </c>
      <c r="K23" s="30"/>
      <c r="L23" s="30"/>
      <c r="S23" t="s">
        <v>166</v>
      </c>
      <c r="T23" t="s">
        <v>130</v>
      </c>
      <c r="U23" s="73">
        <v>110.80070000000001</v>
      </c>
      <c r="V23" t="s">
        <v>143</v>
      </c>
    </row>
    <row r="24" spans="1:22" x14ac:dyDescent="0.25">
      <c r="A24" t="s">
        <v>163</v>
      </c>
      <c r="D24" s="5" t="s">
        <v>121</v>
      </c>
      <c r="E24" s="11" t="s">
        <v>129</v>
      </c>
      <c r="F24" s="13">
        <v>16</v>
      </c>
      <c r="G24" s="11" t="s">
        <v>129</v>
      </c>
      <c r="H24" s="13">
        <v>16</v>
      </c>
      <c r="I24" s="11" t="s">
        <v>129</v>
      </c>
      <c r="J24" s="13">
        <v>16</v>
      </c>
      <c r="K24" s="30"/>
      <c r="L24" s="30"/>
      <c r="S24" t="s">
        <v>166</v>
      </c>
      <c r="T24" t="s">
        <v>133</v>
      </c>
      <c r="U24">
        <v>6.5</v>
      </c>
      <c r="V24" t="s">
        <v>123</v>
      </c>
    </row>
    <row r="25" spans="1:22" x14ac:dyDescent="0.25">
      <c r="A25" t="s">
        <v>163</v>
      </c>
      <c r="D25" s="5" t="s">
        <v>121</v>
      </c>
      <c r="E25" s="11" t="s">
        <v>139</v>
      </c>
      <c r="F25" s="13">
        <v>18</v>
      </c>
      <c r="G25" s="11" t="s">
        <v>139</v>
      </c>
      <c r="H25" s="13">
        <v>18</v>
      </c>
      <c r="I25" s="11" t="s">
        <v>139</v>
      </c>
      <c r="J25" s="13">
        <v>18</v>
      </c>
      <c r="K25" s="11" t="s">
        <v>169</v>
      </c>
      <c r="L25" s="13">
        <v>24.6</v>
      </c>
      <c r="M25" s="73"/>
      <c r="S25" t="s">
        <v>166</v>
      </c>
      <c r="T25" t="s">
        <v>147</v>
      </c>
      <c r="U25" s="73">
        <v>8.1900650000000006</v>
      </c>
    </row>
    <row r="26" spans="1:22" x14ac:dyDescent="0.25">
      <c r="A26" t="s">
        <v>163</v>
      </c>
      <c r="D26" s="6" t="s">
        <v>121</v>
      </c>
      <c r="E26" s="12" t="s">
        <v>139</v>
      </c>
      <c r="F26" s="13">
        <v>18</v>
      </c>
      <c r="G26" s="12" t="s">
        <v>139</v>
      </c>
      <c r="H26" s="13">
        <v>18</v>
      </c>
      <c r="I26" s="12" t="s">
        <v>139</v>
      </c>
      <c r="J26" s="13">
        <v>18</v>
      </c>
      <c r="K26" s="11" t="s">
        <v>169</v>
      </c>
      <c r="L26" s="13">
        <v>24.6</v>
      </c>
      <c r="M26" s="73"/>
      <c r="S26" t="s">
        <v>166</v>
      </c>
      <c r="T26" t="s">
        <v>157</v>
      </c>
      <c r="U26">
        <v>4.5469999999999997</v>
      </c>
    </row>
    <row r="27" spans="1:22" x14ac:dyDescent="0.25">
      <c r="A27" t="s">
        <v>163</v>
      </c>
      <c r="D27" s="6" t="s">
        <v>121</v>
      </c>
      <c r="E27" s="12" t="s">
        <v>145</v>
      </c>
      <c r="F27" s="13">
        <v>19.5</v>
      </c>
      <c r="G27" s="12" t="s">
        <v>145</v>
      </c>
      <c r="H27" s="13">
        <v>19.5</v>
      </c>
      <c r="I27" s="12" t="s">
        <v>145</v>
      </c>
      <c r="J27" s="13">
        <v>19.5</v>
      </c>
      <c r="K27" s="29" t="s">
        <v>170</v>
      </c>
      <c r="L27" s="13">
        <v>32</v>
      </c>
      <c r="M27" s="73"/>
      <c r="U27" s="77">
        <f>SUM(U3:U26)</f>
        <v>820.18182700000011</v>
      </c>
    </row>
    <row r="28" spans="1:22" x14ac:dyDescent="0.25">
      <c r="A28" t="s">
        <v>163</v>
      </c>
      <c r="D28" s="6" t="s">
        <v>121</v>
      </c>
      <c r="E28" s="12" t="s">
        <v>145</v>
      </c>
      <c r="F28" s="13">
        <v>19.5</v>
      </c>
      <c r="G28" s="12" t="s">
        <v>145</v>
      </c>
      <c r="H28" s="13">
        <v>19.5</v>
      </c>
      <c r="I28" s="12" t="s">
        <v>145</v>
      </c>
      <c r="J28" s="13">
        <v>19.5</v>
      </c>
      <c r="K28" s="12" t="s">
        <v>171</v>
      </c>
      <c r="L28" s="13">
        <v>3.5</v>
      </c>
      <c r="M28" s="73"/>
    </row>
    <row r="29" spans="1:22" x14ac:dyDescent="0.25">
      <c r="A29" t="s">
        <v>163</v>
      </c>
      <c r="D29" s="5" t="s">
        <v>121</v>
      </c>
      <c r="E29" s="11" t="s">
        <v>154</v>
      </c>
      <c r="F29" s="13">
        <v>2.5</v>
      </c>
      <c r="G29" s="11" t="s">
        <v>154</v>
      </c>
      <c r="H29" s="13">
        <v>2.5</v>
      </c>
      <c r="I29" s="11" t="s">
        <v>154</v>
      </c>
      <c r="J29" s="13">
        <v>2.5</v>
      </c>
      <c r="K29" s="12" t="s">
        <v>171</v>
      </c>
      <c r="L29" s="13">
        <v>3.5</v>
      </c>
      <c r="M29" s="73"/>
    </row>
    <row r="30" spans="1:22" x14ac:dyDescent="0.25">
      <c r="A30" t="s">
        <v>163</v>
      </c>
      <c r="D30" s="5" t="s">
        <v>121</v>
      </c>
      <c r="E30" s="11" t="s">
        <v>154</v>
      </c>
      <c r="F30" s="13">
        <v>2.5</v>
      </c>
      <c r="G30" s="11" t="s">
        <v>154</v>
      </c>
      <c r="H30" s="13">
        <v>2.5</v>
      </c>
      <c r="I30" s="11" t="s">
        <v>154</v>
      </c>
      <c r="J30" s="13">
        <v>2.5</v>
      </c>
      <c r="K30" s="30"/>
      <c r="L30" s="30"/>
    </row>
    <row r="31" spans="1:22" x14ac:dyDescent="0.25">
      <c r="A31" t="s">
        <v>163</v>
      </c>
      <c r="D31" s="5" t="s">
        <v>121</v>
      </c>
      <c r="E31" s="11" t="s">
        <v>172</v>
      </c>
      <c r="F31" s="13">
        <v>22.15</v>
      </c>
      <c r="G31" s="11" t="s">
        <v>172</v>
      </c>
      <c r="H31" s="13">
        <v>22.15</v>
      </c>
      <c r="I31" s="11" t="s">
        <v>172</v>
      </c>
      <c r="J31" s="13">
        <v>22.15</v>
      </c>
      <c r="K31" s="30"/>
      <c r="L31" s="30"/>
    </row>
    <row r="32" spans="1:22" x14ac:dyDescent="0.25">
      <c r="A32" t="s">
        <v>163</v>
      </c>
      <c r="D32" s="5" t="s">
        <v>121</v>
      </c>
      <c r="E32" s="11" t="s">
        <v>172</v>
      </c>
      <c r="F32" s="13">
        <v>22.15</v>
      </c>
      <c r="G32" s="11" t="s">
        <v>172</v>
      </c>
      <c r="H32" s="13">
        <v>22.15</v>
      </c>
      <c r="I32" s="11" t="s">
        <v>172</v>
      </c>
      <c r="J32" s="13">
        <v>22.15</v>
      </c>
      <c r="K32" s="30"/>
      <c r="L32" s="30"/>
    </row>
    <row r="33" spans="1:13" x14ac:dyDescent="0.25">
      <c r="A33" t="s">
        <v>163</v>
      </c>
      <c r="D33" s="5" t="s">
        <v>121</v>
      </c>
      <c r="E33" s="11" t="s">
        <v>173</v>
      </c>
      <c r="F33" s="13">
        <v>23.6</v>
      </c>
      <c r="G33" s="11" t="s">
        <v>173</v>
      </c>
      <c r="H33" s="13">
        <v>23.6</v>
      </c>
      <c r="I33" s="11" t="s">
        <v>173</v>
      </c>
      <c r="J33" s="13">
        <v>23.6</v>
      </c>
      <c r="K33" s="30"/>
      <c r="L33" s="30"/>
    </row>
    <row r="34" spans="1:13" x14ac:dyDescent="0.25">
      <c r="A34" t="s">
        <v>163</v>
      </c>
      <c r="D34" s="5" t="s">
        <v>121</v>
      </c>
      <c r="E34" s="11" t="s">
        <v>173</v>
      </c>
      <c r="F34" s="13">
        <v>23.6</v>
      </c>
      <c r="G34" s="11" t="s">
        <v>173</v>
      </c>
      <c r="H34" s="13">
        <v>23.6</v>
      </c>
      <c r="I34" s="11" t="s">
        <v>173</v>
      </c>
      <c r="J34" s="13">
        <v>23.6</v>
      </c>
      <c r="K34" s="30"/>
      <c r="L34" s="30"/>
    </row>
    <row r="35" spans="1:13" x14ac:dyDescent="0.25">
      <c r="A35" t="s">
        <v>163</v>
      </c>
      <c r="D35" s="5" t="s">
        <v>121</v>
      </c>
      <c r="E35" s="11" t="s">
        <v>164</v>
      </c>
      <c r="F35" s="13">
        <v>23</v>
      </c>
      <c r="G35" s="11" t="s">
        <v>164</v>
      </c>
      <c r="H35" s="13">
        <v>23</v>
      </c>
      <c r="I35" s="11" t="s">
        <v>164</v>
      </c>
      <c r="J35" s="13">
        <v>23</v>
      </c>
      <c r="K35" s="30"/>
      <c r="L35" s="30"/>
    </row>
    <row r="36" spans="1:13" x14ac:dyDescent="0.25">
      <c r="A36" t="s">
        <v>163</v>
      </c>
      <c r="D36" s="5" t="s">
        <v>121</v>
      </c>
      <c r="E36" s="11" t="s">
        <v>164</v>
      </c>
      <c r="F36" s="13">
        <v>23</v>
      </c>
      <c r="G36" s="11" t="s">
        <v>164</v>
      </c>
      <c r="H36" s="13">
        <v>23</v>
      </c>
      <c r="I36" s="11" t="s">
        <v>164</v>
      </c>
      <c r="J36" s="13">
        <v>23</v>
      </c>
      <c r="K36" s="30"/>
      <c r="L36" s="30"/>
    </row>
    <row r="37" spans="1:13" x14ac:dyDescent="0.25">
      <c r="A37" t="s">
        <v>163</v>
      </c>
      <c r="D37" s="5" t="s">
        <v>121</v>
      </c>
      <c r="E37" s="11" t="s">
        <v>164</v>
      </c>
      <c r="F37" s="13">
        <v>23</v>
      </c>
      <c r="G37" s="11" t="s">
        <v>164</v>
      </c>
      <c r="H37" s="13">
        <v>23</v>
      </c>
      <c r="I37" s="11" t="s">
        <v>164</v>
      </c>
      <c r="J37" s="13">
        <v>23</v>
      </c>
      <c r="K37" s="11" t="s">
        <v>174</v>
      </c>
      <c r="L37" s="13">
        <v>7.7</v>
      </c>
      <c r="M37" s="73"/>
    </row>
    <row r="38" spans="1:13" x14ac:dyDescent="0.25">
      <c r="A38" t="s">
        <v>163</v>
      </c>
      <c r="D38" s="5" t="s">
        <v>121</v>
      </c>
      <c r="E38" s="11" t="s">
        <v>164</v>
      </c>
      <c r="F38" s="13">
        <v>23</v>
      </c>
      <c r="G38" s="11" t="s">
        <v>164</v>
      </c>
      <c r="H38" s="13">
        <v>23</v>
      </c>
      <c r="I38" s="11" t="s">
        <v>164</v>
      </c>
      <c r="J38" s="13">
        <v>23</v>
      </c>
      <c r="K38" s="11" t="s">
        <v>175</v>
      </c>
      <c r="L38" s="13">
        <v>8</v>
      </c>
      <c r="M38" s="73"/>
    </row>
    <row r="39" spans="1:13" x14ac:dyDescent="0.25">
      <c r="A39" t="s">
        <v>163</v>
      </c>
      <c r="D39" s="5" t="s">
        <v>121</v>
      </c>
      <c r="E39" s="11" t="s">
        <v>164</v>
      </c>
      <c r="F39" s="13">
        <v>23</v>
      </c>
      <c r="G39" s="11" t="s">
        <v>164</v>
      </c>
      <c r="H39" s="13">
        <v>23</v>
      </c>
      <c r="I39" s="11" t="s">
        <v>164</v>
      </c>
      <c r="J39" s="13">
        <v>23</v>
      </c>
      <c r="K39" s="11" t="s">
        <v>175</v>
      </c>
      <c r="L39" s="13">
        <v>8</v>
      </c>
      <c r="M39" s="73"/>
    </row>
    <row r="40" spans="1:13" x14ac:dyDescent="0.25">
      <c r="A40" t="s">
        <v>163</v>
      </c>
      <c r="D40" s="5" t="s">
        <v>121</v>
      </c>
      <c r="E40" s="11" t="s">
        <v>164</v>
      </c>
      <c r="F40" s="13">
        <v>23</v>
      </c>
      <c r="G40" s="11" t="s">
        <v>164</v>
      </c>
      <c r="H40" s="13">
        <v>23</v>
      </c>
      <c r="I40" s="11" t="s">
        <v>164</v>
      </c>
      <c r="J40" s="13">
        <v>23</v>
      </c>
      <c r="K40" s="11" t="s">
        <v>175</v>
      </c>
      <c r="L40" s="13">
        <v>8</v>
      </c>
      <c r="M40" s="73"/>
    </row>
    <row r="41" spans="1:13" x14ac:dyDescent="0.25">
      <c r="A41" t="s">
        <v>163</v>
      </c>
      <c r="D41" s="5" t="s">
        <v>121</v>
      </c>
      <c r="E41" s="11" t="s">
        <v>169</v>
      </c>
      <c r="F41" s="13">
        <v>24.6</v>
      </c>
      <c r="G41" s="11" t="s">
        <v>169</v>
      </c>
      <c r="H41" s="13">
        <v>24.6</v>
      </c>
      <c r="I41" s="11" t="s">
        <v>169</v>
      </c>
      <c r="J41" s="13">
        <v>24.6</v>
      </c>
      <c r="K41" s="30" t="s">
        <v>176</v>
      </c>
      <c r="L41" s="30">
        <v>53.6</v>
      </c>
      <c r="M41" s="73"/>
    </row>
    <row r="42" spans="1:13" x14ac:dyDescent="0.25">
      <c r="A42" t="s">
        <v>163</v>
      </c>
      <c r="D42" s="5" t="s">
        <v>121</v>
      </c>
      <c r="E42" s="11" t="s">
        <v>169</v>
      </c>
      <c r="F42" s="13">
        <v>24.6</v>
      </c>
      <c r="G42" s="11" t="s">
        <v>169</v>
      </c>
      <c r="H42" s="13">
        <v>24.6</v>
      </c>
      <c r="I42" s="11" t="s">
        <v>169</v>
      </c>
      <c r="J42" s="13">
        <v>24.6</v>
      </c>
      <c r="K42" s="30" t="s">
        <v>177</v>
      </c>
      <c r="L42" s="30">
        <v>44</v>
      </c>
      <c r="M42" s="73"/>
    </row>
    <row r="43" spans="1:13" x14ac:dyDescent="0.25">
      <c r="A43" t="s">
        <v>163</v>
      </c>
      <c r="D43" s="5" t="s">
        <v>121</v>
      </c>
      <c r="E43" s="11"/>
      <c r="F43" s="13"/>
      <c r="G43" s="11"/>
      <c r="H43" s="13"/>
      <c r="I43" s="11"/>
      <c r="J43" s="13"/>
      <c r="K43" s="30" t="s">
        <v>178</v>
      </c>
      <c r="L43" s="30">
        <v>14.6</v>
      </c>
      <c r="M43" s="73"/>
    </row>
    <row r="44" spans="1:13" x14ac:dyDescent="0.25">
      <c r="A44" t="s">
        <v>163</v>
      </c>
      <c r="D44" s="5" t="s">
        <v>121</v>
      </c>
      <c r="E44" s="11" t="s">
        <v>171</v>
      </c>
      <c r="F44" s="13">
        <v>3.5</v>
      </c>
      <c r="G44" s="11" t="s">
        <v>171</v>
      </c>
      <c r="H44" s="13">
        <v>3.5</v>
      </c>
      <c r="I44" s="11" t="s">
        <v>171</v>
      </c>
      <c r="J44" s="13">
        <v>3.5</v>
      </c>
      <c r="K44" s="11" t="s">
        <v>179</v>
      </c>
      <c r="L44" s="13">
        <v>0.12</v>
      </c>
      <c r="M44" s="73"/>
    </row>
    <row r="45" spans="1:13" x14ac:dyDescent="0.25">
      <c r="A45" t="s">
        <v>163</v>
      </c>
      <c r="D45" s="5" t="s">
        <v>121</v>
      </c>
      <c r="E45" s="11" t="s">
        <v>171</v>
      </c>
      <c r="F45" s="13">
        <v>3.5</v>
      </c>
      <c r="G45" s="11" t="s">
        <v>171</v>
      </c>
      <c r="H45" s="13">
        <v>3.5</v>
      </c>
      <c r="I45" s="11" t="s">
        <v>171</v>
      </c>
      <c r="J45" s="13">
        <v>3.5</v>
      </c>
      <c r="K45" s="25" t="s">
        <v>180</v>
      </c>
      <c r="L45" s="13">
        <v>0.22500000000000001</v>
      </c>
      <c r="M45" s="73"/>
    </row>
    <row r="46" spans="1:13" x14ac:dyDescent="0.25">
      <c r="A46" t="s">
        <v>163</v>
      </c>
      <c r="D46" s="5" t="s">
        <v>121</v>
      </c>
      <c r="E46" s="11" t="s">
        <v>181</v>
      </c>
      <c r="F46" s="13">
        <v>3</v>
      </c>
      <c r="G46" s="11" t="s">
        <v>181</v>
      </c>
      <c r="H46" s="28">
        <v>3</v>
      </c>
      <c r="I46" s="11" t="s">
        <v>181</v>
      </c>
      <c r="J46" s="28">
        <v>3</v>
      </c>
      <c r="K46" s="11" t="s">
        <v>182</v>
      </c>
      <c r="L46" s="11">
        <v>2.2699999999999999E-4</v>
      </c>
      <c r="M46" s="73"/>
    </row>
    <row r="47" spans="1:13" x14ac:dyDescent="0.25">
      <c r="A47" t="s">
        <v>163</v>
      </c>
      <c r="D47" s="5" t="s">
        <v>121</v>
      </c>
      <c r="E47" s="11" t="s">
        <v>181</v>
      </c>
      <c r="F47" s="13">
        <v>3</v>
      </c>
      <c r="G47" s="11" t="s">
        <v>181</v>
      </c>
      <c r="H47" s="13">
        <v>3</v>
      </c>
      <c r="I47" s="11" t="s">
        <v>181</v>
      </c>
      <c r="J47" s="13">
        <v>3</v>
      </c>
      <c r="K47" s="30"/>
      <c r="L47" s="30"/>
    </row>
    <row r="48" spans="1:13" x14ac:dyDescent="0.25">
      <c r="A48" t="s">
        <v>163</v>
      </c>
      <c r="D48" s="5" t="s">
        <v>121</v>
      </c>
      <c r="E48" s="5" t="s">
        <v>181</v>
      </c>
      <c r="F48" s="13">
        <v>3</v>
      </c>
      <c r="G48" s="11" t="s">
        <v>181</v>
      </c>
      <c r="H48" s="28">
        <v>3</v>
      </c>
      <c r="I48" s="11" t="s">
        <v>181</v>
      </c>
      <c r="J48" s="28">
        <v>3</v>
      </c>
      <c r="K48" s="11" t="s">
        <v>183</v>
      </c>
      <c r="L48" s="11">
        <v>2.5599999999999999E-4</v>
      </c>
      <c r="M48" s="73"/>
    </row>
    <row r="49" spans="1:13" x14ac:dyDescent="0.25">
      <c r="A49" t="s">
        <v>163</v>
      </c>
      <c r="D49" s="5" t="s">
        <v>121</v>
      </c>
      <c r="E49" s="5" t="s">
        <v>181</v>
      </c>
      <c r="F49" s="13">
        <v>3</v>
      </c>
      <c r="G49" s="11" t="s">
        <v>181</v>
      </c>
      <c r="H49" s="13">
        <v>3</v>
      </c>
      <c r="I49" s="11" t="s">
        <v>181</v>
      </c>
      <c r="J49" s="13">
        <v>3</v>
      </c>
      <c r="K49" s="30"/>
      <c r="L49" s="30"/>
    </row>
    <row r="50" spans="1:13" x14ac:dyDescent="0.25">
      <c r="A50" t="s">
        <v>163</v>
      </c>
      <c r="D50" s="5" t="s">
        <v>121</v>
      </c>
      <c r="E50" s="11" t="s">
        <v>181</v>
      </c>
      <c r="F50" s="13">
        <v>3</v>
      </c>
      <c r="G50" s="11" t="s">
        <v>181</v>
      </c>
      <c r="H50" s="13">
        <v>3</v>
      </c>
      <c r="I50" s="11" t="s">
        <v>181</v>
      </c>
      <c r="J50" s="13">
        <v>3</v>
      </c>
      <c r="K50" s="11" t="s">
        <v>184</v>
      </c>
      <c r="L50" s="13">
        <v>0.26</v>
      </c>
      <c r="M50" s="73"/>
    </row>
    <row r="51" spans="1:13" x14ac:dyDescent="0.25">
      <c r="A51" t="s">
        <v>163</v>
      </c>
      <c r="D51" s="5" t="s">
        <v>121</v>
      </c>
      <c r="E51" s="11" t="s">
        <v>181</v>
      </c>
      <c r="F51" s="13">
        <v>3</v>
      </c>
      <c r="G51" s="11" t="s">
        <v>181</v>
      </c>
      <c r="H51" s="28">
        <v>3</v>
      </c>
      <c r="I51" s="11" t="s">
        <v>181</v>
      </c>
      <c r="J51" s="28">
        <v>3</v>
      </c>
      <c r="K51" s="11" t="s">
        <v>185</v>
      </c>
      <c r="L51" s="11">
        <v>2.9E-4</v>
      </c>
      <c r="M51" s="73"/>
    </row>
    <row r="52" spans="1:13" x14ac:dyDescent="0.25">
      <c r="A52" t="s">
        <v>163</v>
      </c>
      <c r="D52" s="5" t="s">
        <v>121</v>
      </c>
      <c r="E52" s="5" t="s">
        <v>181</v>
      </c>
      <c r="F52" s="13">
        <v>3</v>
      </c>
      <c r="G52" s="11" t="s">
        <v>181</v>
      </c>
      <c r="H52" s="13">
        <v>3</v>
      </c>
      <c r="I52" s="11" t="s">
        <v>181</v>
      </c>
      <c r="J52" s="13">
        <v>3</v>
      </c>
      <c r="K52" s="30"/>
      <c r="L52" s="30"/>
    </row>
    <row r="53" spans="1:13" x14ac:dyDescent="0.25">
      <c r="A53" t="s">
        <v>163</v>
      </c>
      <c r="D53" s="5" t="s">
        <v>121</v>
      </c>
      <c r="E53" s="5" t="s">
        <v>174</v>
      </c>
      <c r="F53" s="13">
        <v>7.7</v>
      </c>
      <c r="G53" s="11" t="s">
        <v>174</v>
      </c>
      <c r="H53" s="28">
        <v>7.7</v>
      </c>
      <c r="I53" s="11" t="s">
        <v>174</v>
      </c>
      <c r="J53" s="28">
        <v>7.7</v>
      </c>
      <c r="K53" s="11" t="s">
        <v>186</v>
      </c>
      <c r="L53" s="11">
        <v>7.5000000000000002E-4</v>
      </c>
      <c r="M53" s="73"/>
    </row>
    <row r="54" spans="1:13" x14ac:dyDescent="0.25">
      <c r="A54" t="s">
        <v>163</v>
      </c>
      <c r="D54" s="5" t="s">
        <v>121</v>
      </c>
      <c r="E54" s="11" t="s">
        <v>175</v>
      </c>
      <c r="F54" s="13">
        <v>8</v>
      </c>
      <c r="G54" s="11" t="s">
        <v>175</v>
      </c>
      <c r="H54" s="13">
        <v>8</v>
      </c>
      <c r="I54" s="11" t="s">
        <v>175</v>
      </c>
      <c r="J54" s="13">
        <v>8</v>
      </c>
      <c r="K54" s="30"/>
      <c r="L54" s="30"/>
    </row>
    <row r="55" spans="1:13" x14ac:dyDescent="0.25">
      <c r="A55" t="s">
        <v>163</v>
      </c>
      <c r="D55" s="5" t="s">
        <v>121</v>
      </c>
      <c r="E55" s="5" t="s">
        <v>175</v>
      </c>
      <c r="F55" s="13">
        <v>8</v>
      </c>
      <c r="G55" s="11" t="s">
        <v>175</v>
      </c>
      <c r="H55" s="13">
        <v>8</v>
      </c>
      <c r="I55" s="11" t="s">
        <v>175</v>
      </c>
      <c r="J55" s="13">
        <v>8</v>
      </c>
      <c r="K55" s="30"/>
      <c r="L55" s="30"/>
    </row>
    <row r="56" spans="1:13" x14ac:dyDescent="0.25">
      <c r="A56" t="s">
        <v>163</v>
      </c>
      <c r="D56" s="5" t="s">
        <v>121</v>
      </c>
      <c r="E56" s="5" t="s">
        <v>175</v>
      </c>
      <c r="F56" s="13">
        <v>8</v>
      </c>
      <c r="G56" s="11" t="s">
        <v>175</v>
      </c>
      <c r="H56" s="13">
        <v>8</v>
      </c>
      <c r="I56" s="11" t="s">
        <v>175</v>
      </c>
      <c r="J56" s="13">
        <v>8</v>
      </c>
      <c r="K56" s="11" t="s">
        <v>180</v>
      </c>
      <c r="L56" s="13">
        <v>0.22500000000000001</v>
      </c>
      <c r="M56" s="73"/>
    </row>
    <row r="57" spans="1:13" x14ac:dyDescent="0.25">
      <c r="A57" t="s">
        <v>163</v>
      </c>
      <c r="D57" s="5" t="s">
        <v>121</v>
      </c>
      <c r="E57" s="11"/>
      <c r="F57" s="13"/>
      <c r="G57" s="11"/>
      <c r="H57" s="13"/>
      <c r="I57" s="29"/>
      <c r="J57" s="30"/>
      <c r="K57" s="30" t="s">
        <v>187</v>
      </c>
      <c r="L57" s="30">
        <v>0.25</v>
      </c>
      <c r="M57" s="73"/>
    </row>
    <row r="58" spans="1:13" x14ac:dyDescent="0.25">
      <c r="A58" t="s">
        <v>163</v>
      </c>
      <c r="D58" s="5" t="s">
        <v>121</v>
      </c>
      <c r="E58" s="11"/>
      <c r="F58" s="13"/>
      <c r="G58" s="11"/>
      <c r="H58" s="28"/>
      <c r="I58" s="11"/>
      <c r="J58" s="28"/>
      <c r="K58" s="30" t="s">
        <v>188</v>
      </c>
      <c r="L58" s="30">
        <v>0.22500000000000001</v>
      </c>
      <c r="M58" s="73"/>
    </row>
    <row r="59" spans="1:13" x14ac:dyDescent="0.25">
      <c r="A59" t="s">
        <v>163</v>
      </c>
      <c r="D59" s="5" t="s">
        <v>121</v>
      </c>
      <c r="E59" s="11"/>
      <c r="F59" s="13"/>
      <c r="G59" s="11"/>
      <c r="H59" s="13"/>
      <c r="I59" s="11"/>
      <c r="J59" s="13"/>
      <c r="K59" s="11" t="s">
        <v>189</v>
      </c>
      <c r="L59" s="6">
        <v>6.4999999999999996E-6</v>
      </c>
      <c r="M59" s="73">
        <f>SUM(L19:L59)</f>
        <v>325.40652950000003</v>
      </c>
    </row>
    <row r="60" spans="1:13" x14ac:dyDescent="0.25">
      <c r="A60" t="s">
        <v>163</v>
      </c>
      <c r="D60" s="5" t="s">
        <v>117</v>
      </c>
      <c r="E60" s="11"/>
      <c r="F60" s="13"/>
      <c r="G60" s="11" t="s">
        <v>190</v>
      </c>
      <c r="H60" s="13">
        <v>1.1499999999999999</v>
      </c>
      <c r="I60" s="11" t="s">
        <v>190</v>
      </c>
      <c r="J60" s="13">
        <v>1.1499999999999999</v>
      </c>
      <c r="K60" s="11" t="s">
        <v>191</v>
      </c>
      <c r="L60" s="6">
        <v>7.1000000000000005E-5</v>
      </c>
      <c r="M60" s="73"/>
    </row>
    <row r="61" spans="1:13" x14ac:dyDescent="0.25">
      <c r="A61" t="s">
        <v>163</v>
      </c>
      <c r="D61" s="5" t="s">
        <v>117</v>
      </c>
      <c r="E61" s="11"/>
      <c r="F61" s="13"/>
      <c r="G61" s="11" t="s">
        <v>192</v>
      </c>
      <c r="H61" s="13">
        <v>2.4500000000000002</v>
      </c>
      <c r="I61" s="11" t="s">
        <v>192</v>
      </c>
      <c r="J61" s="13">
        <v>2.4500000000000002</v>
      </c>
      <c r="K61" s="11" t="s">
        <v>191</v>
      </c>
      <c r="L61" s="6">
        <v>7.1000000000000005E-5</v>
      </c>
      <c r="M61" s="73"/>
    </row>
    <row r="62" spans="1:13" x14ac:dyDescent="0.25">
      <c r="A62" t="s">
        <v>163</v>
      </c>
      <c r="D62" s="5" t="s">
        <v>117</v>
      </c>
      <c r="E62" s="11"/>
      <c r="F62" s="13"/>
      <c r="G62" s="11" t="s">
        <v>192</v>
      </c>
      <c r="H62" s="13">
        <v>2.4500000000000002</v>
      </c>
      <c r="I62" s="11" t="s">
        <v>192</v>
      </c>
      <c r="J62" s="13">
        <v>2.4500000000000002</v>
      </c>
      <c r="K62" s="11" t="s">
        <v>191</v>
      </c>
      <c r="L62" s="6">
        <v>7.1000000000000005E-5</v>
      </c>
      <c r="M62" s="73"/>
    </row>
    <row r="63" spans="1:13" x14ac:dyDescent="0.25">
      <c r="A63" t="s">
        <v>163</v>
      </c>
      <c r="D63" s="5" t="s">
        <v>117</v>
      </c>
      <c r="E63" s="11"/>
      <c r="F63" s="13"/>
      <c r="G63" s="11" t="s">
        <v>192</v>
      </c>
      <c r="H63" s="13">
        <v>2.4500000000000002</v>
      </c>
      <c r="I63" s="11" t="s">
        <v>192</v>
      </c>
      <c r="J63" s="13">
        <v>2.4500000000000002</v>
      </c>
      <c r="K63" s="11" t="s">
        <v>191</v>
      </c>
      <c r="L63" s="6">
        <v>7.1000000000000005E-5</v>
      </c>
      <c r="M63" s="73"/>
    </row>
    <row r="64" spans="1:13" x14ac:dyDescent="0.25">
      <c r="A64" t="s">
        <v>163</v>
      </c>
      <c r="D64" s="5" t="s">
        <v>117</v>
      </c>
      <c r="E64" s="11"/>
      <c r="F64" s="13"/>
      <c r="G64" s="11" t="s">
        <v>193</v>
      </c>
      <c r="H64" s="13">
        <v>2.6</v>
      </c>
      <c r="I64" s="11" t="s">
        <v>193</v>
      </c>
      <c r="J64" s="13">
        <v>2.6</v>
      </c>
      <c r="K64" s="11" t="s">
        <v>191</v>
      </c>
      <c r="L64" s="6">
        <v>7.1000000000000005E-5</v>
      </c>
      <c r="M64" s="73"/>
    </row>
    <row r="65" spans="1:13" x14ac:dyDescent="0.25">
      <c r="A65" t="s">
        <v>163</v>
      </c>
      <c r="D65" s="5" t="s">
        <v>117</v>
      </c>
      <c r="E65" s="11"/>
      <c r="F65" s="13"/>
      <c r="G65" s="24"/>
      <c r="H65" s="21"/>
      <c r="I65" s="24"/>
      <c r="J65" s="20"/>
      <c r="K65" s="11" t="s">
        <v>194</v>
      </c>
      <c r="L65" s="6">
        <v>7.1000000000000005E-5</v>
      </c>
      <c r="M65" s="73"/>
    </row>
    <row r="66" spans="1:13" x14ac:dyDescent="0.25">
      <c r="A66" t="s">
        <v>163</v>
      </c>
      <c r="D66" s="5" t="s">
        <v>117</v>
      </c>
      <c r="E66" s="11"/>
      <c r="F66" s="13"/>
      <c r="G66" s="24"/>
      <c r="H66" s="21"/>
      <c r="I66" s="24"/>
      <c r="J66" s="20"/>
      <c r="K66" s="11" t="s">
        <v>195</v>
      </c>
      <c r="L66" s="6">
        <v>8.5000000000000006E-5</v>
      </c>
      <c r="M66" s="73"/>
    </row>
    <row r="67" spans="1:13" x14ac:dyDescent="0.25">
      <c r="A67" t="s">
        <v>163</v>
      </c>
      <c r="D67" s="5" t="s">
        <v>117</v>
      </c>
      <c r="E67" s="11"/>
      <c r="F67" s="13"/>
      <c r="G67" s="24"/>
      <c r="H67" s="21"/>
      <c r="I67" s="24"/>
      <c r="J67" s="20"/>
      <c r="K67" s="29" t="s">
        <v>195</v>
      </c>
      <c r="L67" s="29">
        <v>8.5000000000000006E-5</v>
      </c>
      <c r="M67" s="73"/>
    </row>
    <row r="68" spans="1:13" x14ac:dyDescent="0.25">
      <c r="A68" t="s">
        <v>163</v>
      </c>
      <c r="D68" s="5" t="s">
        <v>117</v>
      </c>
      <c r="E68" s="11"/>
      <c r="F68" s="13"/>
      <c r="G68" s="24"/>
      <c r="H68" s="21"/>
      <c r="I68" s="24"/>
      <c r="J68" s="20"/>
      <c r="K68" s="11" t="s">
        <v>196</v>
      </c>
      <c r="L68" s="11">
        <v>7.1000000000000002E-4</v>
      </c>
      <c r="M68" s="73"/>
    </row>
    <row r="69" spans="1:13" x14ac:dyDescent="0.25">
      <c r="A69" t="s">
        <v>163</v>
      </c>
      <c r="D69" s="5" t="s">
        <v>117</v>
      </c>
      <c r="E69" s="5"/>
      <c r="F69" s="13"/>
      <c r="G69" s="24"/>
      <c r="H69" s="32"/>
      <c r="I69" s="24"/>
      <c r="J69" s="24"/>
      <c r="K69" s="11" t="s">
        <v>197</v>
      </c>
      <c r="L69" s="11">
        <v>7.1000000000000002E-4</v>
      </c>
      <c r="M69" s="73"/>
    </row>
    <row r="70" spans="1:13" x14ac:dyDescent="0.25">
      <c r="A70" t="s">
        <v>163</v>
      </c>
      <c r="D70" s="5" t="s">
        <v>117</v>
      </c>
      <c r="E70" s="11"/>
      <c r="F70" s="13"/>
      <c r="G70" s="24"/>
      <c r="H70" s="21"/>
      <c r="I70" s="24"/>
      <c r="J70" s="20"/>
      <c r="K70" s="11"/>
      <c r="L70" s="11"/>
    </row>
    <row r="71" spans="1:13" x14ac:dyDescent="0.25">
      <c r="A71" t="s">
        <v>163</v>
      </c>
      <c r="D71" s="5" t="s">
        <v>117</v>
      </c>
      <c r="E71" s="11"/>
      <c r="F71" s="13"/>
      <c r="G71" s="24"/>
      <c r="H71" s="21"/>
      <c r="I71" s="24"/>
      <c r="J71" s="20"/>
      <c r="K71" s="11"/>
      <c r="L71" s="11"/>
      <c r="M71">
        <f>SUM(L60:L71)</f>
        <v>2.016E-3</v>
      </c>
    </row>
    <row r="72" spans="1:13" x14ac:dyDescent="0.25">
      <c r="A72" t="s">
        <v>163</v>
      </c>
      <c r="D72" s="5" t="s">
        <v>137</v>
      </c>
      <c r="E72" s="24" t="s">
        <v>198</v>
      </c>
      <c r="F72" s="13">
        <v>2.2999999999999998</v>
      </c>
      <c r="G72" s="24"/>
      <c r="H72" s="13"/>
      <c r="I72" s="24"/>
      <c r="J72" s="13"/>
      <c r="K72" s="30"/>
      <c r="L72" s="30"/>
    </row>
    <row r="73" spans="1:13" x14ac:dyDescent="0.25">
      <c r="A73" t="s">
        <v>163</v>
      </c>
      <c r="D73" s="5" t="s">
        <v>127</v>
      </c>
      <c r="E73" s="11" t="s">
        <v>199</v>
      </c>
      <c r="F73" s="13">
        <v>1.7</v>
      </c>
      <c r="G73" s="11" t="s">
        <v>199</v>
      </c>
      <c r="H73" s="13">
        <v>1.7</v>
      </c>
      <c r="I73" s="11" t="s">
        <v>199</v>
      </c>
      <c r="J73" s="13">
        <v>1.7</v>
      </c>
      <c r="K73" s="30" t="s">
        <v>200</v>
      </c>
      <c r="L73" s="30">
        <v>1.2</v>
      </c>
      <c r="M73" s="73"/>
    </row>
    <row r="74" spans="1:13" x14ac:dyDescent="0.25">
      <c r="A74" t="s">
        <v>163</v>
      </c>
      <c r="D74" s="5" t="s">
        <v>127</v>
      </c>
      <c r="E74" s="11" t="s">
        <v>199</v>
      </c>
      <c r="F74" s="13">
        <v>1.7</v>
      </c>
      <c r="G74" s="11" t="s">
        <v>199</v>
      </c>
      <c r="H74" s="13">
        <v>1.7</v>
      </c>
      <c r="I74" s="11" t="s">
        <v>199</v>
      </c>
      <c r="J74" s="13">
        <v>1.7</v>
      </c>
      <c r="K74" s="30" t="s">
        <v>188</v>
      </c>
      <c r="L74" s="30">
        <v>0.22500000000000001</v>
      </c>
      <c r="M74" s="73"/>
    </row>
    <row r="75" spans="1:13" x14ac:dyDescent="0.25">
      <c r="A75" t="s">
        <v>163</v>
      </c>
      <c r="D75" s="5" t="s">
        <v>127</v>
      </c>
      <c r="E75" s="11" t="s">
        <v>201</v>
      </c>
      <c r="F75" s="13">
        <v>10.5</v>
      </c>
      <c r="G75" s="11" t="s">
        <v>201</v>
      </c>
      <c r="H75" s="13">
        <v>10.5</v>
      </c>
      <c r="I75" s="11" t="s">
        <v>201</v>
      </c>
      <c r="J75" s="13">
        <v>10.5</v>
      </c>
      <c r="K75" s="30" t="s">
        <v>188</v>
      </c>
      <c r="L75" s="30">
        <v>0.22500000000000001</v>
      </c>
      <c r="M75" s="73"/>
    </row>
    <row r="76" spans="1:13" x14ac:dyDescent="0.25">
      <c r="A76" t="s">
        <v>163</v>
      </c>
      <c r="D76" s="5" t="s">
        <v>127</v>
      </c>
      <c r="E76" s="11" t="s">
        <v>201</v>
      </c>
      <c r="F76" s="13">
        <v>10.5</v>
      </c>
      <c r="G76" s="11" t="s">
        <v>201</v>
      </c>
      <c r="H76" s="13">
        <v>10.5</v>
      </c>
      <c r="I76" s="11" t="s">
        <v>201</v>
      </c>
      <c r="J76" s="13">
        <v>10.5</v>
      </c>
      <c r="K76" s="11" t="s">
        <v>202</v>
      </c>
      <c r="L76" s="13">
        <v>0.08</v>
      </c>
      <c r="M76" s="73"/>
    </row>
    <row r="77" spans="1:13" x14ac:dyDescent="0.25">
      <c r="A77" t="s">
        <v>163</v>
      </c>
      <c r="D77" s="5" t="s">
        <v>127</v>
      </c>
      <c r="E77" s="5" t="s">
        <v>201</v>
      </c>
      <c r="F77" s="13">
        <v>10.5</v>
      </c>
      <c r="G77" s="11" t="s">
        <v>201</v>
      </c>
      <c r="H77" s="28">
        <v>10.5</v>
      </c>
      <c r="I77" s="11" t="s">
        <v>201</v>
      </c>
      <c r="J77" s="28">
        <v>10.5</v>
      </c>
      <c r="K77" s="30"/>
      <c r="L77" s="30"/>
    </row>
    <row r="78" spans="1:13" x14ac:dyDescent="0.25">
      <c r="A78" t="s">
        <v>163</v>
      </c>
      <c r="D78" s="5" t="s">
        <v>127</v>
      </c>
      <c r="E78" s="5" t="s">
        <v>201</v>
      </c>
      <c r="F78" s="13">
        <v>10.5</v>
      </c>
      <c r="G78" s="11" t="s">
        <v>201</v>
      </c>
      <c r="H78" s="28">
        <v>10.5</v>
      </c>
      <c r="I78" s="11" t="s">
        <v>201</v>
      </c>
      <c r="J78" s="28">
        <v>10.5</v>
      </c>
      <c r="K78" s="30"/>
      <c r="L78" s="30"/>
    </row>
    <row r="79" spans="1:13" x14ac:dyDescent="0.25">
      <c r="A79" t="s">
        <v>163</v>
      </c>
      <c r="D79" s="5" t="s">
        <v>127</v>
      </c>
      <c r="E79" s="5" t="s">
        <v>203</v>
      </c>
      <c r="F79" s="13">
        <v>10.6</v>
      </c>
      <c r="G79" s="11" t="s">
        <v>203</v>
      </c>
      <c r="H79" s="28">
        <v>10.6</v>
      </c>
      <c r="I79" s="11" t="s">
        <v>203</v>
      </c>
      <c r="J79" s="28">
        <v>10.6</v>
      </c>
      <c r="K79" s="11" t="s">
        <v>196</v>
      </c>
      <c r="L79" s="11">
        <v>7.1000000000000002E-4</v>
      </c>
      <c r="M79" s="73"/>
    </row>
    <row r="80" spans="1:13" x14ac:dyDescent="0.25">
      <c r="A80" t="s">
        <v>163</v>
      </c>
      <c r="D80" s="5" t="s">
        <v>127</v>
      </c>
      <c r="E80" s="5" t="s">
        <v>204</v>
      </c>
      <c r="F80" s="13">
        <v>11.1</v>
      </c>
      <c r="G80" s="11" t="s">
        <v>204</v>
      </c>
      <c r="H80" s="28">
        <v>11.1</v>
      </c>
      <c r="I80" s="11" t="s">
        <v>204</v>
      </c>
      <c r="J80" s="28">
        <v>11.1</v>
      </c>
      <c r="K80" s="11" t="s">
        <v>196</v>
      </c>
      <c r="L80" s="11">
        <v>7.1000000000000002E-4</v>
      </c>
      <c r="M80" s="73"/>
    </row>
    <row r="81" spans="1:13" x14ac:dyDescent="0.25">
      <c r="A81" t="s">
        <v>163</v>
      </c>
      <c r="D81" s="5" t="s">
        <v>127</v>
      </c>
      <c r="E81" s="5" t="s">
        <v>204</v>
      </c>
      <c r="F81" s="13">
        <v>11.1</v>
      </c>
      <c r="G81" s="11" t="s">
        <v>204</v>
      </c>
      <c r="H81" s="28">
        <v>11.1</v>
      </c>
      <c r="I81" s="11" t="s">
        <v>204</v>
      </c>
      <c r="J81" s="28">
        <v>11.1</v>
      </c>
      <c r="K81" s="11" t="s">
        <v>196</v>
      </c>
      <c r="L81" s="11">
        <v>7.1000000000000002E-4</v>
      </c>
      <c r="M81" s="73"/>
    </row>
    <row r="82" spans="1:13" x14ac:dyDescent="0.25">
      <c r="A82" t="s">
        <v>163</v>
      </c>
      <c r="D82" s="5" t="s">
        <v>127</v>
      </c>
      <c r="E82" s="11" t="s">
        <v>205</v>
      </c>
      <c r="F82" s="13">
        <v>4.3</v>
      </c>
      <c r="G82" s="11" t="s">
        <v>205</v>
      </c>
      <c r="H82" s="13">
        <v>4.3</v>
      </c>
      <c r="I82" s="11" t="s">
        <v>205</v>
      </c>
      <c r="J82" s="13">
        <v>4.3</v>
      </c>
      <c r="K82" s="11" t="s">
        <v>196</v>
      </c>
      <c r="L82" s="6">
        <v>7.1000000000000002E-4</v>
      </c>
      <c r="M82" s="73"/>
    </row>
    <row r="83" spans="1:13" x14ac:dyDescent="0.25">
      <c r="A83" t="s">
        <v>163</v>
      </c>
      <c r="D83" s="5" t="s">
        <v>127</v>
      </c>
      <c r="E83" s="5" t="s">
        <v>205</v>
      </c>
      <c r="F83" s="13">
        <v>4.3</v>
      </c>
      <c r="G83" s="11" t="s">
        <v>205</v>
      </c>
      <c r="H83" s="28">
        <v>4.3</v>
      </c>
      <c r="I83" s="11" t="s">
        <v>205</v>
      </c>
      <c r="J83" s="28">
        <v>4.3</v>
      </c>
      <c r="K83" s="11" t="s">
        <v>196</v>
      </c>
      <c r="L83" s="11">
        <v>7.1000000000000002E-4</v>
      </c>
      <c r="M83" s="73"/>
    </row>
    <row r="84" spans="1:13" x14ac:dyDescent="0.25">
      <c r="A84" t="s">
        <v>163</v>
      </c>
      <c r="D84" s="5" t="s">
        <v>142</v>
      </c>
      <c r="E84" s="25" t="s">
        <v>206</v>
      </c>
      <c r="F84" s="13">
        <v>2.99</v>
      </c>
      <c r="G84" s="24"/>
      <c r="H84" s="28"/>
      <c r="I84" s="24"/>
      <c r="J84" s="28"/>
      <c r="K84" s="11" t="s">
        <v>196</v>
      </c>
      <c r="L84" s="11">
        <v>7.1000000000000002E-4</v>
      </c>
      <c r="M84" s="73"/>
    </row>
    <row r="85" spans="1:13" x14ac:dyDescent="0.25">
      <c r="A85" t="s">
        <v>163</v>
      </c>
      <c r="D85" s="5" t="s">
        <v>127</v>
      </c>
      <c r="E85" s="24" t="s">
        <v>207</v>
      </c>
      <c r="F85" s="13">
        <v>14.5</v>
      </c>
      <c r="G85" s="24"/>
      <c r="H85" s="13"/>
      <c r="I85" s="24"/>
      <c r="J85" s="13"/>
      <c r="K85" s="11" t="s">
        <v>208</v>
      </c>
      <c r="L85" s="6">
        <v>2.5999999999999998E-4</v>
      </c>
      <c r="M85" s="73"/>
    </row>
    <row r="86" spans="1:13" x14ac:dyDescent="0.25">
      <c r="A86" t="s">
        <v>163</v>
      </c>
      <c r="D86" s="5" t="s">
        <v>142</v>
      </c>
      <c r="E86" s="24" t="s">
        <v>209</v>
      </c>
      <c r="F86" s="13">
        <v>23.6</v>
      </c>
      <c r="G86" s="24"/>
      <c r="H86" s="13"/>
      <c r="I86" s="24"/>
      <c r="J86" s="13"/>
      <c r="K86" s="30"/>
      <c r="L86" s="30"/>
    </row>
    <row r="87" spans="1:13" x14ac:dyDescent="0.25">
      <c r="A87" t="s">
        <v>163</v>
      </c>
      <c r="D87" s="5" t="s">
        <v>142</v>
      </c>
      <c r="E87" s="25" t="s">
        <v>210</v>
      </c>
      <c r="F87" s="13">
        <v>10.6</v>
      </c>
      <c r="G87" s="24"/>
      <c r="H87" s="32"/>
      <c r="I87" s="24"/>
      <c r="J87" s="24"/>
      <c r="K87" s="11" t="s">
        <v>191</v>
      </c>
      <c r="L87" s="11">
        <v>7.1000000000000005E-5</v>
      </c>
      <c r="M87" s="73"/>
    </row>
    <row r="88" spans="1:13" x14ac:dyDescent="0.25">
      <c r="A88" t="s">
        <v>163</v>
      </c>
      <c r="D88" s="5" t="s">
        <v>142</v>
      </c>
      <c r="E88" s="25" t="s">
        <v>211</v>
      </c>
      <c r="F88" s="13">
        <v>2.99</v>
      </c>
      <c r="G88" s="24"/>
      <c r="H88" s="32"/>
      <c r="I88" s="24"/>
      <c r="J88" s="24"/>
      <c r="K88" s="11" t="s">
        <v>212</v>
      </c>
      <c r="L88" s="11">
        <v>0.85</v>
      </c>
      <c r="M88" s="73"/>
    </row>
    <row r="89" spans="1:13" x14ac:dyDescent="0.25">
      <c r="A89" t="s">
        <v>163</v>
      </c>
      <c r="D89" s="5" t="s">
        <v>142</v>
      </c>
      <c r="E89" s="25" t="s">
        <v>175</v>
      </c>
      <c r="F89" s="13">
        <v>8</v>
      </c>
      <c r="G89" s="24"/>
      <c r="H89" s="32"/>
      <c r="I89" s="24"/>
      <c r="J89" s="24"/>
      <c r="K89" s="11" t="s">
        <v>128</v>
      </c>
      <c r="L89" s="28">
        <v>4</v>
      </c>
      <c r="M89" s="73"/>
    </row>
    <row r="90" spans="1:13" x14ac:dyDescent="0.25">
      <c r="A90" t="s">
        <v>163</v>
      </c>
      <c r="D90" s="5" t="s">
        <v>142</v>
      </c>
      <c r="E90" s="25" t="s">
        <v>174</v>
      </c>
      <c r="F90" s="13">
        <v>7.7</v>
      </c>
      <c r="G90" s="24"/>
      <c r="H90" s="21"/>
      <c r="I90" s="24"/>
      <c r="J90" s="20"/>
      <c r="K90" s="11" t="s">
        <v>190</v>
      </c>
      <c r="L90" s="13">
        <v>1.1499999999999999</v>
      </c>
      <c r="M90" s="73"/>
    </row>
    <row r="91" spans="1:13" x14ac:dyDescent="0.25">
      <c r="A91" t="s">
        <v>163</v>
      </c>
      <c r="D91" s="5" t="s">
        <v>142</v>
      </c>
      <c r="E91" s="25" t="s">
        <v>213</v>
      </c>
      <c r="F91" s="13">
        <v>3</v>
      </c>
      <c r="G91" s="24"/>
      <c r="H91" s="21"/>
      <c r="I91" s="24"/>
      <c r="J91" s="20"/>
      <c r="K91" s="11" t="s">
        <v>192</v>
      </c>
      <c r="L91" s="13">
        <v>2.4500000000000002</v>
      </c>
      <c r="M91" s="73"/>
    </row>
    <row r="92" spans="1:13" x14ac:dyDescent="0.25">
      <c r="A92" t="s">
        <v>163</v>
      </c>
      <c r="D92" s="5" t="s">
        <v>142</v>
      </c>
      <c r="E92" s="5"/>
      <c r="F92" s="13"/>
      <c r="G92" s="24"/>
      <c r="H92" s="21"/>
      <c r="I92" s="24"/>
      <c r="J92" s="20"/>
      <c r="K92" s="11" t="s">
        <v>192</v>
      </c>
      <c r="L92" s="13">
        <v>2.4500000000000002</v>
      </c>
      <c r="M92" s="73"/>
    </row>
    <row r="93" spans="1:13" x14ac:dyDescent="0.25">
      <c r="A93" t="s">
        <v>163</v>
      </c>
      <c r="D93" s="5" t="s">
        <v>142</v>
      </c>
      <c r="E93" s="11"/>
      <c r="F93" s="13"/>
      <c r="G93" s="24"/>
      <c r="H93" s="21"/>
      <c r="I93" s="24"/>
      <c r="J93" s="20"/>
      <c r="K93" s="11" t="s">
        <v>192</v>
      </c>
      <c r="L93" s="13">
        <v>2.4500000000000002</v>
      </c>
      <c r="M93" s="73"/>
    </row>
    <row r="94" spans="1:13" x14ac:dyDescent="0.25">
      <c r="A94" t="s">
        <v>163</v>
      </c>
      <c r="D94" s="5" t="s">
        <v>142</v>
      </c>
      <c r="E94" s="5"/>
      <c r="F94" s="13"/>
      <c r="G94" s="24"/>
      <c r="H94" s="21"/>
      <c r="I94" s="24"/>
      <c r="J94" s="20"/>
      <c r="K94" s="30"/>
      <c r="L94" s="30"/>
    </row>
    <row r="95" spans="1:13" x14ac:dyDescent="0.25">
      <c r="A95" t="s">
        <v>163</v>
      </c>
      <c r="D95" s="5" t="s">
        <v>142</v>
      </c>
      <c r="E95" s="5"/>
      <c r="F95" s="13"/>
      <c r="G95" s="24"/>
      <c r="H95" s="21"/>
      <c r="I95" s="24"/>
      <c r="J95" s="20"/>
      <c r="K95" s="11" t="s">
        <v>118</v>
      </c>
      <c r="L95" s="13">
        <v>3.1</v>
      </c>
      <c r="M95" s="73"/>
    </row>
    <row r="96" spans="1:13" x14ac:dyDescent="0.25">
      <c r="A96" t="s">
        <v>163</v>
      </c>
      <c r="D96" s="5" t="s">
        <v>142</v>
      </c>
      <c r="E96" s="5"/>
      <c r="F96" s="13"/>
      <c r="G96" s="24"/>
      <c r="H96" s="32"/>
      <c r="I96" s="24"/>
      <c r="J96" s="24"/>
      <c r="K96" s="11" t="s">
        <v>118</v>
      </c>
      <c r="L96" s="28">
        <v>3.1</v>
      </c>
      <c r="M96" s="73"/>
    </row>
    <row r="97" spans="1:13" x14ac:dyDescent="0.25">
      <c r="A97" t="s">
        <v>163</v>
      </c>
      <c r="D97" s="5" t="s">
        <v>142</v>
      </c>
      <c r="E97" s="5"/>
      <c r="F97" s="13"/>
      <c r="G97" s="24"/>
      <c r="H97" s="32"/>
      <c r="I97" s="24"/>
      <c r="J97" s="24"/>
      <c r="K97" s="11" t="s">
        <v>214</v>
      </c>
      <c r="L97" s="28">
        <v>3.6</v>
      </c>
      <c r="M97" s="73">
        <f>SUM(L73:L97)</f>
        <v>24.884591000000004</v>
      </c>
    </row>
    <row r="98" spans="1:13" x14ac:dyDescent="0.25">
      <c r="A98" t="s">
        <v>215</v>
      </c>
      <c r="D98" s="5" t="s">
        <v>216</v>
      </c>
      <c r="E98" s="5" t="s">
        <v>179</v>
      </c>
      <c r="F98" s="13">
        <v>0.12</v>
      </c>
      <c r="G98" s="11" t="s">
        <v>179</v>
      </c>
      <c r="H98" s="28">
        <v>0.12</v>
      </c>
      <c r="I98" s="11" t="s">
        <v>179</v>
      </c>
      <c r="J98" s="28">
        <v>0.12</v>
      </c>
      <c r="K98" s="11" t="s">
        <v>128</v>
      </c>
      <c r="L98" s="28">
        <v>4</v>
      </c>
      <c r="M98" s="73"/>
    </row>
    <row r="99" spans="1:13" x14ac:dyDescent="0.25">
      <c r="A99" t="s">
        <v>215</v>
      </c>
      <c r="D99" s="5" t="s">
        <v>216</v>
      </c>
      <c r="E99" s="5" t="s">
        <v>180</v>
      </c>
      <c r="F99" s="13">
        <v>0.22500000000000001</v>
      </c>
      <c r="G99" s="11" t="s">
        <v>180</v>
      </c>
      <c r="H99" s="28">
        <v>0.22500000000000001</v>
      </c>
      <c r="I99" s="11" t="s">
        <v>180</v>
      </c>
      <c r="J99" s="28">
        <v>0.22500000000000001</v>
      </c>
      <c r="K99" s="11" t="s">
        <v>128</v>
      </c>
      <c r="L99" s="28">
        <v>4</v>
      </c>
      <c r="M99" s="73"/>
    </row>
    <row r="100" spans="1:13" x14ac:dyDescent="0.25">
      <c r="A100" t="s">
        <v>215</v>
      </c>
      <c r="D100" s="5" t="s">
        <v>216</v>
      </c>
      <c r="E100" s="5" t="s">
        <v>184</v>
      </c>
      <c r="F100" s="13">
        <v>0.26</v>
      </c>
      <c r="G100" s="11" t="s">
        <v>184</v>
      </c>
      <c r="H100" s="28">
        <v>0.26</v>
      </c>
      <c r="I100" s="11" t="s">
        <v>184</v>
      </c>
      <c r="J100" s="28">
        <v>0.26</v>
      </c>
      <c r="K100" s="11" t="s">
        <v>128</v>
      </c>
      <c r="L100" s="28">
        <v>4</v>
      </c>
      <c r="M100" s="73"/>
    </row>
    <row r="101" spans="1:13" x14ac:dyDescent="0.25">
      <c r="A101" t="s">
        <v>215</v>
      </c>
      <c r="D101" s="5" t="s">
        <v>216</v>
      </c>
      <c r="E101" s="5" t="s">
        <v>152</v>
      </c>
      <c r="F101" s="13">
        <v>0.22500000000000001</v>
      </c>
      <c r="G101" s="11" t="s">
        <v>152</v>
      </c>
      <c r="H101" s="28">
        <v>0.22500000000000001</v>
      </c>
      <c r="I101" s="11" t="s">
        <v>180</v>
      </c>
      <c r="J101" s="28">
        <v>0.22500000000000001</v>
      </c>
      <c r="K101" s="11" t="s">
        <v>217</v>
      </c>
      <c r="L101" s="28">
        <v>2.8</v>
      </c>
      <c r="M101" s="73"/>
    </row>
    <row r="102" spans="1:13" x14ac:dyDescent="0.25">
      <c r="A102" t="s">
        <v>215</v>
      </c>
      <c r="D102" s="5" t="s">
        <v>126</v>
      </c>
      <c r="E102" s="25" t="s">
        <v>218</v>
      </c>
      <c r="F102" s="13">
        <v>1</v>
      </c>
      <c r="G102" s="24"/>
      <c r="H102" s="28"/>
      <c r="I102" s="24"/>
      <c r="J102" s="24"/>
    </row>
    <row r="103" spans="1:13" x14ac:dyDescent="0.25">
      <c r="A103" t="s">
        <v>215</v>
      </c>
      <c r="D103" s="5" t="s">
        <v>126</v>
      </c>
      <c r="E103" s="24" t="s">
        <v>219</v>
      </c>
      <c r="F103" s="13">
        <v>1.4</v>
      </c>
      <c r="G103" s="24"/>
      <c r="H103" s="13"/>
      <c r="I103" s="24"/>
      <c r="J103" s="13"/>
    </row>
    <row r="104" spans="1:13" x14ac:dyDescent="0.25">
      <c r="A104" t="s">
        <v>215</v>
      </c>
      <c r="D104" s="5" t="s">
        <v>126</v>
      </c>
      <c r="E104" s="11"/>
      <c r="F104" s="13"/>
      <c r="G104" s="11"/>
      <c r="H104" s="13"/>
      <c r="I104" s="11"/>
      <c r="J104" s="13"/>
      <c r="K104" s="29" t="s">
        <v>220</v>
      </c>
      <c r="L104" s="30">
        <v>3.2</v>
      </c>
      <c r="M104" s="73"/>
    </row>
    <row r="105" spans="1:13" x14ac:dyDescent="0.25">
      <c r="A105" t="s">
        <v>215</v>
      </c>
      <c r="D105" s="5" t="s">
        <v>126</v>
      </c>
      <c r="E105" s="11"/>
      <c r="F105" s="13"/>
      <c r="G105" s="11"/>
      <c r="H105" s="13"/>
      <c r="I105" s="11"/>
      <c r="J105" s="13"/>
      <c r="K105" s="29" t="s">
        <v>221</v>
      </c>
      <c r="L105" s="30">
        <v>2.4</v>
      </c>
      <c r="M105" s="73"/>
    </row>
    <row r="106" spans="1:13" x14ac:dyDescent="0.25">
      <c r="A106" t="s">
        <v>215</v>
      </c>
      <c r="D106" s="5" t="s">
        <v>126</v>
      </c>
      <c r="E106" s="11"/>
      <c r="F106" s="13"/>
      <c r="G106" s="11"/>
      <c r="H106" s="13"/>
      <c r="I106" s="11"/>
      <c r="J106" s="13"/>
      <c r="K106" s="29" t="s">
        <v>217</v>
      </c>
      <c r="L106" s="30">
        <v>2.8</v>
      </c>
      <c r="M106" s="73">
        <f>SUM(L98:L106)</f>
        <v>23.2</v>
      </c>
    </row>
    <row r="107" spans="1:13" x14ac:dyDescent="0.25">
      <c r="A107" t="s">
        <v>215</v>
      </c>
      <c r="D107" s="5" t="s">
        <v>222</v>
      </c>
      <c r="E107" s="11" t="s">
        <v>202</v>
      </c>
      <c r="F107" s="13">
        <v>0.08</v>
      </c>
      <c r="G107" s="11" t="s">
        <v>202</v>
      </c>
      <c r="H107" s="13">
        <v>0.08</v>
      </c>
      <c r="I107" s="11" t="s">
        <v>202</v>
      </c>
      <c r="J107" s="13">
        <v>0.08</v>
      </c>
      <c r="K107" s="29" t="s">
        <v>162</v>
      </c>
      <c r="L107" s="30">
        <v>2</v>
      </c>
      <c r="M107" s="73">
        <f>L107</f>
        <v>2</v>
      </c>
    </row>
    <row r="108" spans="1:13" x14ac:dyDescent="0.25">
      <c r="A108" t="s">
        <v>215</v>
      </c>
      <c r="D108" s="5" t="s">
        <v>223</v>
      </c>
      <c r="E108" s="11" t="s">
        <v>224</v>
      </c>
      <c r="F108" s="13">
        <v>0.3</v>
      </c>
      <c r="G108" s="11" t="s">
        <v>224</v>
      </c>
      <c r="H108" s="13">
        <v>0.3</v>
      </c>
      <c r="I108" s="11" t="s">
        <v>224</v>
      </c>
      <c r="J108" s="13">
        <v>0.3</v>
      </c>
      <c r="K108" s="29" t="s">
        <v>214</v>
      </c>
      <c r="L108" s="30">
        <v>3.6</v>
      </c>
      <c r="M108" s="73"/>
    </row>
    <row r="109" spans="1:13" x14ac:dyDescent="0.25">
      <c r="A109" t="s">
        <v>215</v>
      </c>
      <c r="D109" s="5" t="s">
        <v>137</v>
      </c>
      <c r="E109" s="24" t="s">
        <v>225</v>
      </c>
      <c r="F109" s="13">
        <v>2.7</v>
      </c>
      <c r="G109" s="24"/>
      <c r="H109" s="13"/>
      <c r="I109" s="24"/>
      <c r="J109" s="13"/>
      <c r="K109" s="29" t="s">
        <v>214</v>
      </c>
      <c r="L109" s="30">
        <v>3.6</v>
      </c>
      <c r="M109" s="73"/>
    </row>
    <row r="110" spans="1:13" x14ac:dyDescent="0.25">
      <c r="A110" t="s">
        <v>215</v>
      </c>
      <c r="D110" s="5" t="s">
        <v>137</v>
      </c>
      <c r="E110" s="11"/>
      <c r="F110" s="13"/>
      <c r="G110" s="11"/>
      <c r="H110" s="13"/>
      <c r="I110" s="24"/>
      <c r="J110" s="13"/>
      <c r="K110" s="29" t="s">
        <v>214</v>
      </c>
      <c r="L110" s="30">
        <v>3.6</v>
      </c>
      <c r="M110" s="73">
        <f>SUM(L108:L110)</f>
        <v>10.8</v>
      </c>
    </row>
    <row r="111" spans="1:13" x14ac:dyDescent="0.25">
      <c r="A111" t="s">
        <v>215</v>
      </c>
      <c r="D111" s="5" t="s">
        <v>150</v>
      </c>
      <c r="E111" s="5" t="s">
        <v>226</v>
      </c>
      <c r="F111" s="13">
        <v>1.3</v>
      </c>
      <c r="G111" s="11" t="s">
        <v>226</v>
      </c>
      <c r="H111" s="13">
        <v>1.3</v>
      </c>
      <c r="I111" s="11" t="s">
        <v>226</v>
      </c>
      <c r="J111" s="13">
        <v>1.3</v>
      </c>
      <c r="K111" s="11" t="s">
        <v>224</v>
      </c>
      <c r="L111" s="13">
        <v>0.3</v>
      </c>
      <c r="M111" s="73"/>
    </row>
    <row r="112" spans="1:13" x14ac:dyDescent="0.25">
      <c r="A112" t="s">
        <v>215</v>
      </c>
      <c r="D112" s="5" t="s">
        <v>150</v>
      </c>
      <c r="E112" s="5"/>
      <c r="F112" s="13"/>
      <c r="G112" s="11"/>
      <c r="H112" s="28"/>
      <c r="I112" s="11"/>
      <c r="J112" s="28"/>
      <c r="K112" s="11" t="s">
        <v>227</v>
      </c>
      <c r="L112" s="11">
        <v>4.2499999999999998E-4</v>
      </c>
      <c r="M112" s="73">
        <f>SUM(L111:L112)</f>
        <v>0.300425</v>
      </c>
    </row>
    <row r="113" spans="1:13" x14ac:dyDescent="0.25">
      <c r="A113" t="s">
        <v>215</v>
      </c>
      <c r="D113" s="5" t="s">
        <v>228</v>
      </c>
      <c r="E113" s="11" t="s">
        <v>229</v>
      </c>
      <c r="F113" s="13">
        <v>2.56</v>
      </c>
      <c r="G113" s="11" t="s">
        <v>229</v>
      </c>
      <c r="H113" s="13">
        <v>2.56</v>
      </c>
      <c r="I113" s="11" t="s">
        <v>229</v>
      </c>
      <c r="J113" s="13">
        <v>2.56</v>
      </c>
      <c r="K113" s="11" t="s">
        <v>230</v>
      </c>
      <c r="L113" s="6">
        <v>5.0000000000000001E-4</v>
      </c>
      <c r="M113" s="73"/>
    </row>
    <row r="114" spans="1:13" x14ac:dyDescent="0.25">
      <c r="A114" t="s">
        <v>215</v>
      </c>
      <c r="D114" s="5" t="s">
        <v>228</v>
      </c>
      <c r="E114" s="25"/>
      <c r="F114" s="20"/>
      <c r="G114" s="24"/>
      <c r="H114" s="21"/>
      <c r="I114" s="25"/>
      <c r="J114" s="20"/>
      <c r="K114" s="11" t="s">
        <v>231</v>
      </c>
      <c r="L114" s="6">
        <v>1.5</v>
      </c>
      <c r="M114" s="73">
        <f>SUM(L113:L114)</f>
        <v>1.5004999999999999</v>
      </c>
    </row>
    <row r="115" spans="1:13" x14ac:dyDescent="0.25">
      <c r="A115" t="s">
        <v>215</v>
      </c>
      <c r="D115" s="5" t="s">
        <v>157</v>
      </c>
      <c r="E115" s="25"/>
      <c r="F115" s="20"/>
      <c r="G115" s="24"/>
      <c r="H115" s="21"/>
      <c r="I115" s="25"/>
      <c r="J115" s="20"/>
      <c r="K115" s="7" t="s">
        <v>213</v>
      </c>
      <c r="L115" s="27">
        <v>3</v>
      </c>
      <c r="M115" s="73">
        <f>L115</f>
        <v>3</v>
      </c>
    </row>
    <row r="116" spans="1:13" x14ac:dyDescent="0.25">
      <c r="A116" t="s">
        <v>232</v>
      </c>
      <c r="D116" s="5" t="s">
        <v>117</v>
      </c>
      <c r="E116" s="5" t="s">
        <v>214</v>
      </c>
      <c r="F116" s="13">
        <v>3.6</v>
      </c>
      <c r="G116" s="11" t="s">
        <v>214</v>
      </c>
      <c r="H116" s="13">
        <v>3.6</v>
      </c>
      <c r="I116" s="5" t="s">
        <v>214</v>
      </c>
      <c r="J116" s="13">
        <v>3.6</v>
      </c>
      <c r="K116" s="7" t="s">
        <v>233</v>
      </c>
      <c r="L116" s="27">
        <v>4.2</v>
      </c>
      <c r="M116" s="73"/>
    </row>
    <row r="117" spans="1:13" x14ac:dyDescent="0.25">
      <c r="A117" t="s">
        <v>232</v>
      </c>
      <c r="D117" s="5" t="s">
        <v>117</v>
      </c>
      <c r="E117" s="5" t="s">
        <v>214</v>
      </c>
      <c r="F117" s="13">
        <v>3.6</v>
      </c>
      <c r="G117" s="24"/>
      <c r="H117" s="21"/>
      <c r="I117" s="25"/>
      <c r="J117" s="20"/>
      <c r="K117" s="5" t="s">
        <v>128</v>
      </c>
      <c r="L117" s="6">
        <v>4</v>
      </c>
      <c r="M117" s="73">
        <f>SUM(L116:L117)</f>
        <v>8.1999999999999993</v>
      </c>
    </row>
    <row r="118" spans="1:13" x14ac:dyDescent="0.25">
      <c r="A118" t="s">
        <v>232</v>
      </c>
      <c r="D118" s="5" t="s">
        <v>234</v>
      </c>
      <c r="E118" s="5" t="s">
        <v>138</v>
      </c>
      <c r="F118" s="13">
        <v>5</v>
      </c>
      <c r="G118" s="11" t="s">
        <v>138</v>
      </c>
      <c r="H118" s="13">
        <v>5</v>
      </c>
      <c r="I118" s="5" t="s">
        <v>138</v>
      </c>
      <c r="J118" s="13">
        <v>5</v>
      </c>
    </row>
    <row r="119" spans="1:13" x14ac:dyDescent="0.25">
      <c r="A119" t="s">
        <v>232</v>
      </c>
      <c r="D119" s="5" t="s">
        <v>234</v>
      </c>
      <c r="E119" s="5" t="s">
        <v>138</v>
      </c>
      <c r="F119" s="13">
        <v>5</v>
      </c>
      <c r="G119" s="11" t="s">
        <v>138</v>
      </c>
      <c r="H119" s="13">
        <v>5</v>
      </c>
      <c r="I119" s="5" t="s">
        <v>138</v>
      </c>
      <c r="J119" s="13">
        <v>5</v>
      </c>
      <c r="K119" s="30"/>
      <c r="L119" s="30"/>
    </row>
    <row r="120" spans="1:13" x14ac:dyDescent="0.25">
      <c r="A120" t="s">
        <v>232</v>
      </c>
      <c r="D120" s="5" t="s">
        <v>127</v>
      </c>
      <c r="E120" s="5" t="s">
        <v>199</v>
      </c>
      <c r="F120" s="13">
        <v>1.7</v>
      </c>
      <c r="G120" s="11" t="s">
        <v>199</v>
      </c>
      <c r="H120" s="13">
        <v>1.7</v>
      </c>
      <c r="I120" s="5" t="s">
        <v>199</v>
      </c>
      <c r="J120" s="13">
        <v>1.7</v>
      </c>
      <c r="K120" s="30"/>
      <c r="L120" s="30"/>
    </row>
    <row r="121" spans="1:13" x14ac:dyDescent="0.25">
      <c r="A121" t="s">
        <v>232</v>
      </c>
      <c r="D121" s="5" t="s">
        <v>127</v>
      </c>
      <c r="E121" s="11" t="s">
        <v>235</v>
      </c>
      <c r="F121" s="13">
        <v>11.4</v>
      </c>
      <c r="G121" s="11" t="s">
        <v>235</v>
      </c>
      <c r="H121" s="13">
        <v>11.4</v>
      </c>
      <c r="I121" s="11" t="s">
        <v>235</v>
      </c>
      <c r="J121" s="13">
        <v>11.4</v>
      </c>
    </row>
    <row r="122" spans="1:13" x14ac:dyDescent="0.25">
      <c r="A122" t="s">
        <v>232</v>
      </c>
      <c r="D122" s="5" t="s">
        <v>127</v>
      </c>
      <c r="E122" s="5" t="s">
        <v>235</v>
      </c>
      <c r="F122" s="13">
        <v>11.4</v>
      </c>
      <c r="G122" s="11" t="s">
        <v>235</v>
      </c>
      <c r="H122" s="13">
        <v>11.4</v>
      </c>
      <c r="I122" s="5" t="s">
        <v>235</v>
      </c>
      <c r="J122" s="13">
        <v>11.4</v>
      </c>
      <c r="K122" s="5" t="s">
        <v>217</v>
      </c>
      <c r="L122" s="13">
        <v>2.8</v>
      </c>
      <c r="M122" s="73"/>
    </row>
    <row r="123" spans="1:13" x14ac:dyDescent="0.25">
      <c r="A123" t="s">
        <v>232</v>
      </c>
      <c r="D123" s="5" t="s">
        <v>127</v>
      </c>
      <c r="E123" s="5" t="s">
        <v>236</v>
      </c>
      <c r="F123" s="13">
        <v>2.2999999999999998</v>
      </c>
      <c r="G123" s="11" t="s">
        <v>236</v>
      </c>
      <c r="H123" s="13">
        <v>2.2999999999999998</v>
      </c>
      <c r="I123" s="5" t="s">
        <v>236</v>
      </c>
      <c r="J123" s="13">
        <v>2.2999999999999998</v>
      </c>
      <c r="K123" s="5" t="s">
        <v>217</v>
      </c>
      <c r="L123" s="13">
        <v>2.8</v>
      </c>
      <c r="M123" s="73"/>
    </row>
    <row r="124" spans="1:13" x14ac:dyDescent="0.25">
      <c r="A124" t="s">
        <v>232</v>
      </c>
      <c r="D124" s="5" t="s">
        <v>127</v>
      </c>
      <c r="E124" s="11" t="s">
        <v>236</v>
      </c>
      <c r="F124" s="13">
        <v>2.2999999999999998</v>
      </c>
      <c r="G124" s="11" t="s">
        <v>236</v>
      </c>
      <c r="H124" s="13">
        <v>2.2999999999999998</v>
      </c>
      <c r="I124" s="5" t="s">
        <v>236</v>
      </c>
      <c r="J124" s="13">
        <v>2.2999999999999998</v>
      </c>
      <c r="K124" s="5" t="s">
        <v>217</v>
      </c>
      <c r="L124" s="13">
        <v>2.8</v>
      </c>
      <c r="M124" s="73"/>
    </row>
    <row r="125" spans="1:13" x14ac:dyDescent="0.25">
      <c r="A125" t="s">
        <v>232</v>
      </c>
      <c r="D125" s="5" t="s">
        <v>127</v>
      </c>
      <c r="E125" s="5" t="s">
        <v>237</v>
      </c>
      <c r="F125" s="13">
        <v>2.75</v>
      </c>
      <c r="G125" s="11" t="s">
        <v>237</v>
      </c>
      <c r="H125" s="28">
        <v>2.75</v>
      </c>
      <c r="I125" s="11" t="s">
        <v>237</v>
      </c>
      <c r="J125" s="28">
        <v>2.75</v>
      </c>
      <c r="K125" s="11" t="s">
        <v>138</v>
      </c>
      <c r="L125" s="28">
        <v>5</v>
      </c>
      <c r="M125" s="73"/>
    </row>
    <row r="126" spans="1:13" x14ac:dyDescent="0.25">
      <c r="A126" t="s">
        <v>232</v>
      </c>
      <c r="D126" s="5" t="s">
        <v>127</v>
      </c>
      <c r="E126" s="11" t="s">
        <v>237</v>
      </c>
      <c r="F126" s="13">
        <v>2.75</v>
      </c>
      <c r="G126" s="11" t="s">
        <v>237</v>
      </c>
      <c r="H126" s="13">
        <v>2.75</v>
      </c>
      <c r="I126" s="11" t="s">
        <v>237</v>
      </c>
      <c r="J126" s="13">
        <v>2.75</v>
      </c>
      <c r="K126" s="11" t="s">
        <v>138</v>
      </c>
      <c r="L126" s="28">
        <v>5</v>
      </c>
      <c r="M126" s="73">
        <f>SUM(L120:L126)</f>
        <v>18.399999999999999</v>
      </c>
    </row>
    <row r="127" spans="1:13" x14ac:dyDescent="0.25">
      <c r="A127" t="s">
        <v>238</v>
      </c>
      <c r="D127" s="5" t="s">
        <v>126</v>
      </c>
      <c r="E127" s="5"/>
      <c r="F127" s="13"/>
      <c r="G127" s="11" t="s">
        <v>239</v>
      </c>
      <c r="H127" s="28">
        <v>0.03</v>
      </c>
      <c r="I127" s="11" t="s">
        <v>239</v>
      </c>
      <c r="J127" s="28">
        <v>0.03</v>
      </c>
      <c r="K127" s="11" t="s">
        <v>199</v>
      </c>
      <c r="L127" s="28">
        <v>1.7</v>
      </c>
      <c r="M127" s="73"/>
    </row>
    <row r="128" spans="1:13" x14ac:dyDescent="0.25">
      <c r="A128" t="s">
        <v>238</v>
      </c>
      <c r="D128" s="5" t="s">
        <v>126</v>
      </c>
      <c r="E128" s="11"/>
      <c r="F128" s="13"/>
      <c r="G128" s="11" t="s">
        <v>240</v>
      </c>
      <c r="H128" s="30">
        <v>7.3999999999999996E-2</v>
      </c>
      <c r="I128" s="29" t="s">
        <v>240</v>
      </c>
      <c r="J128" s="30">
        <v>7.3999999999999996E-2</v>
      </c>
      <c r="K128" s="11" t="s">
        <v>241</v>
      </c>
      <c r="L128" s="30">
        <v>1.9</v>
      </c>
      <c r="M128" s="73">
        <f>SUM(L127:L128)</f>
        <v>3.5999999999999996</v>
      </c>
    </row>
    <row r="129" spans="1:13" x14ac:dyDescent="0.25">
      <c r="A129" t="s">
        <v>238</v>
      </c>
      <c r="D129" s="5" t="s">
        <v>130</v>
      </c>
      <c r="E129" s="11"/>
      <c r="F129" s="13"/>
      <c r="G129" s="11" t="s">
        <v>242</v>
      </c>
      <c r="H129" s="13">
        <v>5.5E-2</v>
      </c>
      <c r="I129" s="11" t="s">
        <v>242</v>
      </c>
      <c r="J129" s="13">
        <v>5.5E-2</v>
      </c>
      <c r="K129" s="11" t="s">
        <v>199</v>
      </c>
      <c r="L129" s="13">
        <v>1.7</v>
      </c>
      <c r="M129" s="73"/>
    </row>
    <row r="130" spans="1:13" x14ac:dyDescent="0.25">
      <c r="A130" t="s">
        <v>238</v>
      </c>
      <c r="D130" s="5" t="s">
        <v>130</v>
      </c>
      <c r="E130" s="5"/>
      <c r="F130" s="13"/>
      <c r="G130" s="11" t="s">
        <v>243</v>
      </c>
      <c r="H130" s="28">
        <v>7.0999999999999994E-2</v>
      </c>
      <c r="I130" s="11" t="s">
        <v>243</v>
      </c>
      <c r="J130" s="13">
        <v>7.0999999999999994E-2</v>
      </c>
      <c r="K130" s="11" t="s">
        <v>199</v>
      </c>
      <c r="L130" s="13">
        <v>1.7</v>
      </c>
      <c r="M130" s="73"/>
    </row>
    <row r="131" spans="1:13" x14ac:dyDescent="0.25">
      <c r="A131" t="s">
        <v>238</v>
      </c>
      <c r="D131" s="5" t="s">
        <v>130</v>
      </c>
      <c r="E131" s="11"/>
      <c r="F131" s="13"/>
      <c r="G131" s="11" t="s">
        <v>243</v>
      </c>
      <c r="H131" s="13">
        <v>7.0999999999999994E-2</v>
      </c>
      <c r="I131" s="11" t="s">
        <v>243</v>
      </c>
      <c r="J131" s="13">
        <v>7.0999999999999994E-2</v>
      </c>
      <c r="K131" s="11" t="s">
        <v>201</v>
      </c>
      <c r="L131" s="13">
        <v>10.5</v>
      </c>
      <c r="M131" s="73"/>
    </row>
    <row r="132" spans="1:13" x14ac:dyDescent="0.25">
      <c r="A132" t="s">
        <v>238</v>
      </c>
      <c r="D132" s="5" t="s">
        <v>130</v>
      </c>
      <c r="E132" s="11"/>
      <c r="F132" s="28"/>
      <c r="G132" s="11" t="s">
        <v>244</v>
      </c>
      <c r="H132" s="28">
        <v>0.13600000000000001</v>
      </c>
      <c r="I132" s="11" t="s">
        <v>244</v>
      </c>
      <c r="J132" s="28">
        <v>0.13600000000000001</v>
      </c>
      <c r="K132" s="30"/>
      <c r="L132" s="30"/>
    </row>
    <row r="133" spans="1:13" x14ac:dyDescent="0.25">
      <c r="A133" t="s">
        <v>238</v>
      </c>
      <c r="D133" s="5" t="s">
        <v>130</v>
      </c>
      <c r="E133" s="11"/>
      <c r="F133" s="28"/>
      <c r="G133" s="11" t="s">
        <v>245</v>
      </c>
      <c r="H133" s="28">
        <v>0.9</v>
      </c>
      <c r="I133" s="11" t="s">
        <v>245</v>
      </c>
      <c r="J133" s="28">
        <v>0.9</v>
      </c>
      <c r="K133" s="30"/>
      <c r="L133" s="30"/>
      <c r="M133">
        <f>SUM(L129:L133)</f>
        <v>13.9</v>
      </c>
    </row>
    <row r="134" spans="1:13" x14ac:dyDescent="0.25">
      <c r="A134" t="s">
        <v>238</v>
      </c>
      <c r="D134" s="5" t="s">
        <v>155</v>
      </c>
      <c r="E134" s="5" t="s">
        <v>246</v>
      </c>
      <c r="F134" s="13">
        <v>3.5000000000000003E-2</v>
      </c>
      <c r="G134" s="11" t="s">
        <v>246</v>
      </c>
      <c r="H134" s="28">
        <v>3.5000000000000003E-2</v>
      </c>
      <c r="I134" s="11" t="s">
        <v>246</v>
      </c>
      <c r="J134" s="28">
        <v>3.5000000000000003E-2</v>
      </c>
      <c r="K134" s="30"/>
      <c r="L134" s="30"/>
    </row>
    <row r="135" spans="1:13" x14ac:dyDescent="0.25">
      <c r="A135" t="s">
        <v>247</v>
      </c>
      <c r="D135" s="5" t="s">
        <v>117</v>
      </c>
      <c r="E135" s="11"/>
      <c r="F135" s="13"/>
      <c r="G135" s="11"/>
      <c r="H135" s="6"/>
      <c r="I135" s="11"/>
      <c r="J135" s="6"/>
      <c r="K135" s="11" t="s">
        <v>203</v>
      </c>
      <c r="L135" s="13">
        <v>10.6</v>
      </c>
      <c r="M135" s="73"/>
    </row>
    <row r="136" spans="1:13" x14ac:dyDescent="0.25">
      <c r="A136" t="s">
        <v>247</v>
      </c>
      <c r="D136" s="5" t="s">
        <v>117</v>
      </c>
      <c r="E136" s="11" t="s">
        <v>128</v>
      </c>
      <c r="F136" s="13">
        <v>4</v>
      </c>
      <c r="G136" s="11" t="s">
        <v>128</v>
      </c>
      <c r="H136" s="13">
        <v>4</v>
      </c>
      <c r="I136" s="11" t="s">
        <v>128</v>
      </c>
      <c r="J136" s="13">
        <v>4</v>
      </c>
      <c r="K136" s="11" t="s">
        <v>204</v>
      </c>
      <c r="L136" s="13">
        <v>11.1</v>
      </c>
      <c r="M136" s="73"/>
    </row>
    <row r="137" spans="1:13" x14ac:dyDescent="0.25">
      <c r="A137" t="s">
        <v>247</v>
      </c>
      <c r="D137" s="5" t="s">
        <v>117</v>
      </c>
      <c r="E137" s="11" t="s">
        <v>128</v>
      </c>
      <c r="F137" s="13">
        <v>4</v>
      </c>
      <c r="G137" s="11" t="s">
        <v>128</v>
      </c>
      <c r="H137" s="13">
        <v>4</v>
      </c>
      <c r="I137" s="11" t="s">
        <v>128</v>
      </c>
      <c r="J137" s="13">
        <v>4</v>
      </c>
      <c r="K137" s="11" t="s">
        <v>204</v>
      </c>
      <c r="L137" s="13">
        <v>11.1</v>
      </c>
      <c r="M137" s="73"/>
    </row>
    <row r="138" spans="1:13" x14ac:dyDescent="0.25">
      <c r="A138" t="s">
        <v>247</v>
      </c>
      <c r="D138" s="5" t="s">
        <v>117</v>
      </c>
      <c r="E138" s="5" t="s">
        <v>217</v>
      </c>
      <c r="F138" s="13">
        <v>2.8</v>
      </c>
      <c r="G138" s="11" t="s">
        <v>217</v>
      </c>
      <c r="H138" s="13">
        <v>2.8</v>
      </c>
      <c r="I138" s="5" t="s">
        <v>217</v>
      </c>
      <c r="J138" s="13">
        <v>2.8</v>
      </c>
      <c r="K138" s="5" t="s">
        <v>235</v>
      </c>
      <c r="L138" s="13">
        <v>11.4</v>
      </c>
      <c r="M138" s="73"/>
    </row>
    <row r="139" spans="1:13" x14ac:dyDescent="0.25">
      <c r="A139" t="s">
        <v>247</v>
      </c>
      <c r="D139" s="5" t="s">
        <v>117</v>
      </c>
      <c r="E139" s="5" t="s">
        <v>128</v>
      </c>
      <c r="F139" s="13">
        <v>4</v>
      </c>
      <c r="G139" s="24"/>
      <c r="H139" s="21"/>
      <c r="I139" s="25"/>
      <c r="J139" s="20"/>
      <c r="K139" s="5" t="s">
        <v>235</v>
      </c>
      <c r="L139" s="13">
        <v>11.4</v>
      </c>
      <c r="M139" s="73">
        <f>SUM(L135:L139)</f>
        <v>55.599999999999994</v>
      </c>
    </row>
    <row r="140" spans="1:13" x14ac:dyDescent="0.25">
      <c r="A140" t="s">
        <v>247</v>
      </c>
      <c r="D140" s="5" t="s">
        <v>140</v>
      </c>
      <c r="E140" s="11" t="s">
        <v>217</v>
      </c>
      <c r="F140" s="13">
        <v>2.8</v>
      </c>
      <c r="G140" s="11" t="s">
        <v>217</v>
      </c>
      <c r="H140" s="13">
        <v>2.8</v>
      </c>
      <c r="I140" s="11" t="s">
        <v>217</v>
      </c>
      <c r="J140" s="13">
        <v>2.8</v>
      </c>
      <c r="K140" s="11" t="s">
        <v>136</v>
      </c>
      <c r="L140" s="13">
        <v>2.2000000000000002</v>
      </c>
      <c r="M140" s="73"/>
    </row>
    <row r="141" spans="1:13" x14ac:dyDescent="0.25">
      <c r="A141" t="s">
        <v>247</v>
      </c>
      <c r="D141" s="5" t="s">
        <v>140</v>
      </c>
      <c r="E141" s="11" t="s">
        <v>217</v>
      </c>
      <c r="F141" s="13">
        <v>2.8</v>
      </c>
      <c r="G141" s="11" t="s">
        <v>217</v>
      </c>
      <c r="H141" s="13">
        <v>2.8</v>
      </c>
      <c r="I141" s="11" t="s">
        <v>217</v>
      </c>
      <c r="J141" s="13">
        <v>2.8</v>
      </c>
      <c r="K141" s="11" t="s">
        <v>136</v>
      </c>
      <c r="L141" s="13">
        <v>2.2000000000000002</v>
      </c>
      <c r="M141" s="73"/>
    </row>
    <row r="142" spans="1:13" x14ac:dyDescent="0.25">
      <c r="A142" t="s">
        <v>247</v>
      </c>
      <c r="D142" s="5" t="s">
        <v>140</v>
      </c>
      <c r="E142" s="11" t="s">
        <v>217</v>
      </c>
      <c r="F142" s="13">
        <v>2.8</v>
      </c>
      <c r="G142" s="11" t="s">
        <v>217</v>
      </c>
      <c r="H142" s="13">
        <v>2.8</v>
      </c>
      <c r="I142" s="5" t="s">
        <v>217</v>
      </c>
      <c r="J142" s="13">
        <v>2.8</v>
      </c>
      <c r="K142" s="5" t="s">
        <v>236</v>
      </c>
      <c r="L142" s="13">
        <v>2.2999999999999998</v>
      </c>
      <c r="M142" s="73">
        <f>SUM(L140:L142)</f>
        <v>6.7</v>
      </c>
    </row>
    <row r="143" spans="1:13" x14ac:dyDescent="0.25">
      <c r="A143" t="s">
        <v>247</v>
      </c>
      <c r="D143" s="5" t="s">
        <v>127</v>
      </c>
      <c r="E143" s="11" t="s">
        <v>218</v>
      </c>
      <c r="F143" s="13">
        <v>1</v>
      </c>
      <c r="G143" s="11" t="s">
        <v>218</v>
      </c>
      <c r="H143" s="13">
        <v>1</v>
      </c>
      <c r="I143" s="5" t="s">
        <v>218</v>
      </c>
      <c r="J143" s="13">
        <v>1</v>
      </c>
      <c r="K143" s="5" t="s">
        <v>236</v>
      </c>
      <c r="L143" s="13">
        <v>2.2999999999999998</v>
      </c>
      <c r="M143" s="73"/>
    </row>
    <row r="144" spans="1:13" x14ac:dyDescent="0.25">
      <c r="A144" t="s">
        <v>247</v>
      </c>
      <c r="D144" s="5" t="s">
        <v>127</v>
      </c>
      <c r="E144" s="5" t="s">
        <v>218</v>
      </c>
      <c r="F144" s="13">
        <v>1</v>
      </c>
      <c r="G144" s="11" t="s">
        <v>218</v>
      </c>
      <c r="H144" s="13">
        <v>1</v>
      </c>
      <c r="I144" s="5" t="s">
        <v>218</v>
      </c>
      <c r="J144" s="13">
        <v>1</v>
      </c>
      <c r="K144" s="5" t="s">
        <v>237</v>
      </c>
      <c r="L144" s="13">
        <v>2.75</v>
      </c>
      <c r="M144" s="73"/>
    </row>
    <row r="145" spans="1:13" x14ac:dyDescent="0.25">
      <c r="A145" t="s">
        <v>247</v>
      </c>
      <c r="D145" s="5" t="s">
        <v>127</v>
      </c>
      <c r="E145" s="11" t="s">
        <v>218</v>
      </c>
      <c r="F145" s="13">
        <v>1</v>
      </c>
      <c r="G145" s="11" t="s">
        <v>218</v>
      </c>
      <c r="H145" s="13">
        <v>1</v>
      </c>
      <c r="I145" s="5" t="s">
        <v>218</v>
      </c>
      <c r="J145" s="13">
        <v>1</v>
      </c>
      <c r="K145" s="5" t="s">
        <v>237</v>
      </c>
      <c r="L145" s="13">
        <v>2.75</v>
      </c>
      <c r="M145" s="73"/>
    </row>
    <row r="146" spans="1:13" x14ac:dyDescent="0.25">
      <c r="A146" t="s">
        <v>247</v>
      </c>
      <c r="D146" s="5" t="s">
        <v>127</v>
      </c>
      <c r="E146" s="11" t="s">
        <v>199</v>
      </c>
      <c r="F146" s="13">
        <v>1.7</v>
      </c>
      <c r="G146" s="11" t="s">
        <v>199</v>
      </c>
      <c r="H146" s="13">
        <v>1.7</v>
      </c>
      <c r="I146" s="5" t="s">
        <v>199</v>
      </c>
      <c r="J146" s="13">
        <v>1.7</v>
      </c>
      <c r="K146" s="5" t="s">
        <v>205</v>
      </c>
      <c r="L146" s="13">
        <v>4.3</v>
      </c>
      <c r="M146" s="73"/>
    </row>
    <row r="147" spans="1:13" x14ac:dyDescent="0.25">
      <c r="A147" t="s">
        <v>247</v>
      </c>
      <c r="D147" s="5" t="s">
        <v>127</v>
      </c>
      <c r="E147" s="11" t="s">
        <v>200</v>
      </c>
      <c r="F147" s="13">
        <v>1.2</v>
      </c>
      <c r="G147" s="11" t="s">
        <v>200</v>
      </c>
      <c r="H147" s="13">
        <v>1.2</v>
      </c>
      <c r="I147" s="11" t="s">
        <v>200</v>
      </c>
      <c r="J147" s="13">
        <v>1.2</v>
      </c>
      <c r="K147" s="30"/>
      <c r="L147" s="30"/>
    </row>
    <row r="148" spans="1:13" x14ac:dyDescent="0.25">
      <c r="A148" t="s">
        <v>247</v>
      </c>
      <c r="D148" s="5" t="s">
        <v>127</v>
      </c>
      <c r="E148" s="11" t="s">
        <v>248</v>
      </c>
      <c r="F148" s="13">
        <v>1.35</v>
      </c>
      <c r="G148" s="11" t="s">
        <v>248</v>
      </c>
      <c r="H148" s="13">
        <v>1.35</v>
      </c>
      <c r="I148" s="11" t="s">
        <v>248</v>
      </c>
      <c r="J148" s="13">
        <v>1.35</v>
      </c>
      <c r="K148" s="11" t="s">
        <v>138</v>
      </c>
      <c r="L148" s="13">
        <v>5</v>
      </c>
      <c r="M148" s="73"/>
    </row>
    <row r="149" spans="1:13" x14ac:dyDescent="0.25">
      <c r="A149" t="s">
        <v>247</v>
      </c>
      <c r="D149" s="5" t="s">
        <v>127</v>
      </c>
      <c r="E149" s="5" t="s">
        <v>249</v>
      </c>
      <c r="F149" s="13">
        <v>4.5</v>
      </c>
      <c r="G149" s="11" t="s">
        <v>249</v>
      </c>
      <c r="H149" s="13">
        <v>4.5</v>
      </c>
      <c r="I149" s="11" t="s">
        <v>249</v>
      </c>
      <c r="J149" s="13">
        <v>4.5</v>
      </c>
      <c r="K149" s="11" t="s">
        <v>138</v>
      </c>
      <c r="L149" s="13">
        <v>5</v>
      </c>
      <c r="M149" s="73"/>
    </row>
    <row r="150" spans="1:13" x14ac:dyDescent="0.25">
      <c r="A150" t="s">
        <v>247</v>
      </c>
      <c r="D150" s="5" t="s">
        <v>127</v>
      </c>
      <c r="E150" s="5" t="s">
        <v>138</v>
      </c>
      <c r="F150" s="13">
        <v>5</v>
      </c>
      <c r="G150" s="11" t="s">
        <v>138</v>
      </c>
      <c r="H150" s="13">
        <v>5</v>
      </c>
      <c r="I150" s="11" t="s">
        <v>138</v>
      </c>
      <c r="J150" s="13">
        <v>5</v>
      </c>
      <c r="K150" s="11" t="s">
        <v>144</v>
      </c>
      <c r="L150" s="13">
        <v>6</v>
      </c>
      <c r="M150" s="73"/>
    </row>
    <row r="151" spans="1:13" x14ac:dyDescent="0.25">
      <c r="A151" t="s">
        <v>247</v>
      </c>
      <c r="D151" s="5" t="s">
        <v>127</v>
      </c>
      <c r="E151" s="11" t="s">
        <v>138</v>
      </c>
      <c r="F151" s="13">
        <v>5</v>
      </c>
      <c r="G151" s="11" t="s">
        <v>138</v>
      </c>
      <c r="H151" s="13">
        <v>5</v>
      </c>
      <c r="I151" s="11" t="s">
        <v>138</v>
      </c>
      <c r="J151" s="13">
        <v>5</v>
      </c>
      <c r="K151" s="11" t="s">
        <v>148</v>
      </c>
      <c r="L151" s="13">
        <v>8</v>
      </c>
      <c r="M151" s="73"/>
    </row>
    <row r="152" spans="1:13" x14ac:dyDescent="0.25">
      <c r="A152" t="s">
        <v>247</v>
      </c>
      <c r="D152" s="5" t="s">
        <v>127</v>
      </c>
      <c r="E152" s="11" t="s">
        <v>213</v>
      </c>
      <c r="F152" s="13">
        <v>3</v>
      </c>
      <c r="G152" s="11" t="s">
        <v>213</v>
      </c>
      <c r="H152" s="13">
        <v>3</v>
      </c>
      <c r="I152" s="11" t="s">
        <v>213</v>
      </c>
      <c r="J152" s="13">
        <v>3</v>
      </c>
      <c r="K152" s="30"/>
      <c r="L152" s="30"/>
    </row>
    <row r="153" spans="1:13" x14ac:dyDescent="0.25">
      <c r="A153" t="s">
        <v>247</v>
      </c>
      <c r="D153" s="5" t="s">
        <v>127</v>
      </c>
      <c r="E153" s="11" t="s">
        <v>213</v>
      </c>
      <c r="F153" s="13">
        <v>3</v>
      </c>
      <c r="G153" s="11" t="s">
        <v>213</v>
      </c>
      <c r="H153" s="13">
        <v>3</v>
      </c>
      <c r="I153" s="11" t="s">
        <v>213</v>
      </c>
      <c r="J153" s="13">
        <v>3</v>
      </c>
      <c r="K153" s="30"/>
      <c r="L153" s="30"/>
    </row>
    <row r="154" spans="1:13" x14ac:dyDescent="0.25">
      <c r="A154" t="s">
        <v>247</v>
      </c>
      <c r="D154" s="5" t="s">
        <v>127</v>
      </c>
      <c r="E154" s="11" t="s">
        <v>213</v>
      </c>
      <c r="F154" s="13">
        <v>3</v>
      </c>
      <c r="G154" s="11" t="s">
        <v>213</v>
      </c>
      <c r="H154" s="13">
        <v>3</v>
      </c>
      <c r="I154" s="11" t="s">
        <v>213</v>
      </c>
      <c r="J154" s="13">
        <v>3</v>
      </c>
      <c r="K154" s="30"/>
      <c r="L154" s="30"/>
    </row>
    <row r="155" spans="1:13" x14ac:dyDescent="0.25">
      <c r="A155" t="s">
        <v>247</v>
      </c>
      <c r="D155" s="5" t="s">
        <v>127</v>
      </c>
      <c r="E155" s="11" t="s">
        <v>250</v>
      </c>
      <c r="F155" s="13">
        <v>3.5</v>
      </c>
      <c r="G155" s="11" t="s">
        <v>250</v>
      </c>
      <c r="H155" s="13">
        <v>3.5</v>
      </c>
      <c r="I155" s="5" t="s">
        <v>250</v>
      </c>
      <c r="J155" s="13">
        <v>3.5</v>
      </c>
    </row>
    <row r="156" spans="1:13" x14ac:dyDescent="0.25">
      <c r="A156" t="s">
        <v>247</v>
      </c>
      <c r="D156" s="5" t="s">
        <v>127</v>
      </c>
      <c r="E156" s="11" t="s">
        <v>218</v>
      </c>
      <c r="F156" s="13">
        <v>1</v>
      </c>
      <c r="G156" s="11" t="s">
        <v>218</v>
      </c>
      <c r="H156" s="13">
        <v>1</v>
      </c>
      <c r="I156" s="5" t="s">
        <v>218</v>
      </c>
      <c r="J156" s="13">
        <v>1</v>
      </c>
    </row>
    <row r="157" spans="1:13" x14ac:dyDescent="0.25">
      <c r="A157" t="s">
        <v>247</v>
      </c>
      <c r="D157" s="5" t="s">
        <v>127</v>
      </c>
      <c r="E157" s="5" t="s">
        <v>250</v>
      </c>
      <c r="F157" s="13">
        <v>3.5</v>
      </c>
      <c r="G157" s="11" t="s">
        <v>250</v>
      </c>
      <c r="H157" s="13">
        <v>3.5</v>
      </c>
      <c r="I157" s="5" t="s">
        <v>250</v>
      </c>
      <c r="J157" s="13">
        <v>3.5</v>
      </c>
    </row>
    <row r="158" spans="1:13" x14ac:dyDescent="0.25">
      <c r="A158" t="s">
        <v>247</v>
      </c>
      <c r="D158" s="5" t="s">
        <v>127</v>
      </c>
      <c r="E158" s="5" t="s">
        <v>251</v>
      </c>
      <c r="F158" s="13">
        <v>8.0000000000000004E-4</v>
      </c>
      <c r="G158" s="11" t="s">
        <v>251</v>
      </c>
      <c r="H158" s="13">
        <v>8.0000000000000004E-4</v>
      </c>
      <c r="I158" s="5" t="s">
        <v>251</v>
      </c>
      <c r="J158" s="13">
        <v>8.0000000000000004E-4</v>
      </c>
    </row>
    <row r="159" spans="1:13" x14ac:dyDescent="0.25">
      <c r="A159" t="s">
        <v>247</v>
      </c>
      <c r="D159" s="5" t="s">
        <v>127</v>
      </c>
      <c r="E159" s="5" t="s">
        <v>251</v>
      </c>
      <c r="F159" s="13">
        <v>8.0000000000000004E-4</v>
      </c>
      <c r="G159" s="11" t="s">
        <v>251</v>
      </c>
      <c r="H159" s="13">
        <v>8.0000000000000004E-4</v>
      </c>
      <c r="I159" s="5" t="s">
        <v>251</v>
      </c>
      <c r="J159" s="13">
        <v>8.0000000000000004E-4</v>
      </c>
      <c r="K159" s="25" t="s">
        <v>213</v>
      </c>
      <c r="L159" s="13">
        <v>3</v>
      </c>
      <c r="M159" s="73"/>
    </row>
    <row r="160" spans="1:13" x14ac:dyDescent="0.25">
      <c r="A160" t="s">
        <v>247</v>
      </c>
      <c r="D160" s="5" t="s">
        <v>127</v>
      </c>
      <c r="E160" s="5" t="s">
        <v>250</v>
      </c>
      <c r="F160" s="13">
        <v>3.5</v>
      </c>
      <c r="G160" s="24"/>
      <c r="H160" s="21"/>
      <c r="I160" s="25"/>
      <c r="J160" s="20"/>
      <c r="K160" s="5" t="s">
        <v>218</v>
      </c>
      <c r="L160" s="13">
        <v>1</v>
      </c>
      <c r="M160" s="73"/>
    </row>
    <row r="161" spans="1:13" x14ac:dyDescent="0.25">
      <c r="A161" t="s">
        <v>247</v>
      </c>
      <c r="D161" s="5" t="s">
        <v>127</v>
      </c>
      <c r="E161" s="11" t="s">
        <v>250</v>
      </c>
      <c r="F161" s="13">
        <v>3.5</v>
      </c>
      <c r="G161" s="24"/>
      <c r="H161" s="21"/>
      <c r="I161" s="25"/>
      <c r="J161" s="20"/>
      <c r="K161" s="5" t="s">
        <v>218</v>
      </c>
      <c r="L161" s="13">
        <v>1</v>
      </c>
      <c r="M161" s="73">
        <f>SUM(L143:L161)</f>
        <v>41.1</v>
      </c>
    </row>
    <row r="162" spans="1:13" x14ac:dyDescent="0.25">
      <c r="A162" t="s">
        <v>252</v>
      </c>
      <c r="D162" s="5" t="s">
        <v>132</v>
      </c>
      <c r="E162" s="11" t="s">
        <v>184</v>
      </c>
      <c r="F162" s="13">
        <v>0.26</v>
      </c>
      <c r="G162" s="11" t="s">
        <v>182</v>
      </c>
      <c r="H162" s="6">
        <v>2.2699999999999999E-4</v>
      </c>
      <c r="I162" s="5" t="s">
        <v>182</v>
      </c>
      <c r="J162" s="6">
        <v>2.2699999999999999E-4</v>
      </c>
      <c r="K162" s="5" t="s">
        <v>218</v>
      </c>
      <c r="L162" s="13">
        <v>1</v>
      </c>
      <c r="M162" s="73"/>
    </row>
    <row r="163" spans="1:13" x14ac:dyDescent="0.25">
      <c r="A163" t="s">
        <v>252</v>
      </c>
      <c r="D163" s="5" t="s">
        <v>132</v>
      </c>
      <c r="E163" s="5"/>
      <c r="F163" s="13"/>
      <c r="G163" s="11" t="s">
        <v>183</v>
      </c>
      <c r="H163" s="11">
        <v>2.5599999999999999E-4</v>
      </c>
      <c r="I163" s="11" t="s">
        <v>183</v>
      </c>
      <c r="J163" s="11">
        <v>2.5599999999999999E-4</v>
      </c>
      <c r="K163" s="11" t="s">
        <v>199</v>
      </c>
      <c r="L163" s="28">
        <v>1.7</v>
      </c>
      <c r="M163" s="73"/>
    </row>
    <row r="164" spans="1:13" x14ac:dyDescent="0.25">
      <c r="A164" t="s">
        <v>252</v>
      </c>
      <c r="D164" s="5" t="s">
        <v>132</v>
      </c>
      <c r="E164" s="5" t="s">
        <v>152</v>
      </c>
      <c r="F164" s="13">
        <v>0.22500000000000001</v>
      </c>
      <c r="G164" s="11" t="s">
        <v>185</v>
      </c>
      <c r="H164" s="6">
        <v>2.9E-4</v>
      </c>
      <c r="I164" s="11" t="s">
        <v>185</v>
      </c>
      <c r="J164" s="6">
        <v>2.9E-4</v>
      </c>
      <c r="K164" s="11" t="s">
        <v>200</v>
      </c>
      <c r="L164" s="13">
        <v>1.2</v>
      </c>
      <c r="M164" s="73"/>
    </row>
    <row r="165" spans="1:13" x14ac:dyDescent="0.25">
      <c r="A165" t="s">
        <v>252</v>
      </c>
      <c r="D165" s="16" t="s">
        <v>132</v>
      </c>
      <c r="E165" s="16"/>
      <c r="F165" s="18"/>
      <c r="G165" s="19" t="s">
        <v>186</v>
      </c>
      <c r="H165" s="19">
        <v>7.5000000000000002E-4</v>
      </c>
      <c r="I165" s="19" t="s">
        <v>186</v>
      </c>
      <c r="J165" s="19">
        <v>7.5000000000000002E-4</v>
      </c>
      <c r="K165" s="19" t="s">
        <v>248</v>
      </c>
      <c r="L165" s="31">
        <v>1.35</v>
      </c>
      <c r="M165" s="73">
        <f>SUM(L162:L165)</f>
        <v>5.25</v>
      </c>
    </row>
    <row r="166" spans="1:13" x14ac:dyDescent="0.25">
      <c r="A166" t="s">
        <v>252</v>
      </c>
      <c r="D166" s="6" t="s">
        <v>130</v>
      </c>
      <c r="E166" s="6" t="s">
        <v>152</v>
      </c>
      <c r="F166" s="13">
        <v>0.22500000000000001</v>
      </c>
      <c r="G166" s="6" t="s">
        <v>189</v>
      </c>
      <c r="H166" s="6">
        <v>6.4999999999999996E-6</v>
      </c>
      <c r="I166" s="6" t="s">
        <v>189</v>
      </c>
      <c r="J166" s="6">
        <v>6.4999999999999996E-6</v>
      </c>
      <c r="K166" s="6" t="s">
        <v>249</v>
      </c>
      <c r="L166" s="13">
        <v>4.5</v>
      </c>
      <c r="M166" s="73"/>
    </row>
    <row r="167" spans="1:13" x14ac:dyDescent="0.25">
      <c r="A167" t="s">
        <v>252</v>
      </c>
      <c r="D167" s="6" t="s">
        <v>130</v>
      </c>
      <c r="E167" s="6"/>
      <c r="F167" s="13"/>
      <c r="G167" s="6" t="s">
        <v>191</v>
      </c>
      <c r="H167" s="6">
        <v>7.1000000000000005E-5</v>
      </c>
      <c r="I167" s="6" t="s">
        <v>191</v>
      </c>
      <c r="J167" s="6">
        <v>7.1000000000000005E-5</v>
      </c>
      <c r="K167" s="6" t="s">
        <v>138</v>
      </c>
      <c r="L167" s="13">
        <v>5</v>
      </c>
      <c r="M167" s="73"/>
    </row>
    <row r="168" spans="1:13" x14ac:dyDescent="0.25">
      <c r="A168" t="s">
        <v>252</v>
      </c>
      <c r="D168" s="6" t="s">
        <v>130</v>
      </c>
      <c r="E168" s="6"/>
      <c r="F168" s="13"/>
      <c r="G168" s="6" t="s">
        <v>191</v>
      </c>
      <c r="H168" s="6">
        <v>7.1000000000000005E-5</v>
      </c>
      <c r="I168" s="6" t="s">
        <v>191</v>
      </c>
      <c r="J168" s="6">
        <v>7.1000000000000005E-5</v>
      </c>
      <c r="K168" s="6" t="s">
        <v>138</v>
      </c>
      <c r="L168" s="13">
        <v>5</v>
      </c>
      <c r="M168" s="73"/>
    </row>
    <row r="169" spans="1:13" x14ac:dyDescent="0.25">
      <c r="A169" t="s">
        <v>252</v>
      </c>
      <c r="D169" s="6" t="s">
        <v>130</v>
      </c>
      <c r="E169" s="6"/>
      <c r="F169" s="13"/>
      <c r="G169" s="6" t="s">
        <v>191</v>
      </c>
      <c r="H169" s="6">
        <v>7.1000000000000005E-5</v>
      </c>
      <c r="I169" s="6" t="s">
        <v>191</v>
      </c>
      <c r="J169" s="6">
        <v>7.1000000000000005E-5</v>
      </c>
      <c r="K169" s="6" t="s">
        <v>213</v>
      </c>
      <c r="L169" s="13">
        <v>3</v>
      </c>
      <c r="M169" s="73"/>
    </row>
    <row r="170" spans="1:13" x14ac:dyDescent="0.25">
      <c r="A170" t="s">
        <v>252</v>
      </c>
      <c r="D170" s="6" t="s">
        <v>130</v>
      </c>
      <c r="E170" s="6"/>
      <c r="F170" s="13"/>
      <c r="G170" s="6" t="s">
        <v>191</v>
      </c>
      <c r="H170" s="6">
        <v>7.1000000000000005E-5</v>
      </c>
      <c r="I170" s="6" t="s">
        <v>191</v>
      </c>
      <c r="J170" s="6">
        <v>7.1000000000000005E-5</v>
      </c>
      <c r="K170" s="6" t="s">
        <v>213</v>
      </c>
      <c r="L170" s="13">
        <v>3</v>
      </c>
      <c r="M170" s="73"/>
    </row>
    <row r="171" spans="1:13" x14ac:dyDescent="0.25">
      <c r="A171" t="s">
        <v>252</v>
      </c>
      <c r="D171" s="6" t="s">
        <v>130</v>
      </c>
      <c r="E171" s="6"/>
      <c r="F171" s="13"/>
      <c r="G171" s="6" t="s">
        <v>191</v>
      </c>
      <c r="H171" s="6">
        <v>7.1000000000000005E-5</v>
      </c>
      <c r="I171" s="6" t="s">
        <v>191</v>
      </c>
      <c r="J171" s="6">
        <v>7.1000000000000005E-5</v>
      </c>
      <c r="K171" s="6" t="s">
        <v>213</v>
      </c>
      <c r="L171" s="13">
        <v>3</v>
      </c>
      <c r="M171" s="73"/>
    </row>
    <row r="172" spans="1:13" x14ac:dyDescent="0.25">
      <c r="A172" t="s">
        <v>252</v>
      </c>
      <c r="D172" s="6" t="s">
        <v>130</v>
      </c>
      <c r="E172" s="6"/>
      <c r="F172" s="13"/>
      <c r="G172" s="6" t="s">
        <v>194</v>
      </c>
      <c r="H172" s="6">
        <v>7.1000000000000005E-5</v>
      </c>
      <c r="I172" s="6" t="s">
        <v>194</v>
      </c>
      <c r="J172" s="6">
        <v>7.1000000000000005E-5</v>
      </c>
      <c r="K172" s="6" t="s">
        <v>250</v>
      </c>
      <c r="L172" s="13">
        <v>3.5</v>
      </c>
      <c r="M172" s="73"/>
    </row>
    <row r="173" spans="1:13" x14ac:dyDescent="0.25">
      <c r="A173" t="s">
        <v>252</v>
      </c>
      <c r="D173" s="74" t="s">
        <v>130</v>
      </c>
      <c r="E173" s="74"/>
      <c r="F173" s="13"/>
      <c r="G173" s="6" t="s">
        <v>195</v>
      </c>
      <c r="H173" s="6">
        <v>8.5000000000000006E-5</v>
      </c>
      <c r="I173" s="6" t="s">
        <v>195</v>
      </c>
      <c r="J173" s="6">
        <v>8.5000000000000006E-5</v>
      </c>
      <c r="K173" s="6" t="s">
        <v>218</v>
      </c>
      <c r="L173" s="13">
        <v>1</v>
      </c>
      <c r="M173" s="73"/>
    </row>
    <row r="174" spans="1:13" x14ac:dyDescent="0.25">
      <c r="A174" t="s">
        <v>252</v>
      </c>
      <c r="D174" s="6" t="s">
        <v>130</v>
      </c>
      <c r="E174" s="6"/>
      <c r="F174" s="13"/>
      <c r="G174" s="6" t="s">
        <v>195</v>
      </c>
      <c r="H174" s="6">
        <v>8.5000000000000006E-5</v>
      </c>
      <c r="I174" s="6" t="s">
        <v>195</v>
      </c>
      <c r="J174" s="6">
        <v>8.5000000000000006E-5</v>
      </c>
      <c r="K174" s="6" t="s">
        <v>250</v>
      </c>
      <c r="L174" s="13">
        <v>3.5</v>
      </c>
      <c r="M174" s="73"/>
    </row>
    <row r="175" spans="1:13" x14ac:dyDescent="0.25">
      <c r="A175" t="s">
        <v>252</v>
      </c>
      <c r="D175" s="6" t="s">
        <v>130</v>
      </c>
      <c r="E175" s="11"/>
      <c r="F175" s="13"/>
      <c r="G175" s="29" t="s">
        <v>197</v>
      </c>
      <c r="H175" s="29">
        <v>7.1000000000000002E-4</v>
      </c>
      <c r="I175" s="29" t="s">
        <v>197</v>
      </c>
      <c r="J175" s="29">
        <v>7.1000000000000002E-4</v>
      </c>
      <c r="K175" s="29" t="s">
        <v>253</v>
      </c>
      <c r="L175" s="30">
        <v>0.8</v>
      </c>
      <c r="M175" s="73"/>
    </row>
    <row r="176" spans="1:13" x14ac:dyDescent="0.25">
      <c r="A176" t="s">
        <v>252</v>
      </c>
      <c r="D176" s="6" t="s">
        <v>130</v>
      </c>
      <c r="E176" s="11"/>
      <c r="F176" s="13"/>
      <c r="G176" s="29" t="s">
        <v>197</v>
      </c>
      <c r="H176" s="29">
        <v>7.1000000000000002E-4</v>
      </c>
      <c r="I176" s="29" t="s">
        <v>197</v>
      </c>
      <c r="J176" s="29">
        <v>7.1000000000000002E-4</v>
      </c>
      <c r="K176" s="30" t="s">
        <v>253</v>
      </c>
      <c r="L176" s="30">
        <v>0.8</v>
      </c>
      <c r="M176" s="73"/>
    </row>
    <row r="177" spans="1:13" x14ac:dyDescent="0.25">
      <c r="A177" t="s">
        <v>252</v>
      </c>
      <c r="D177" s="6" t="s">
        <v>130</v>
      </c>
      <c r="E177" s="23"/>
      <c r="F177" s="26"/>
      <c r="G177" s="29" t="s">
        <v>196</v>
      </c>
      <c r="H177" s="29">
        <v>7.1000000000000002E-4</v>
      </c>
      <c r="I177" s="29" t="s">
        <v>196</v>
      </c>
      <c r="J177" s="29">
        <v>7.1000000000000002E-4</v>
      </c>
    </row>
    <row r="178" spans="1:13" x14ac:dyDescent="0.25">
      <c r="A178" t="s">
        <v>252</v>
      </c>
      <c r="D178" s="6" t="s">
        <v>130</v>
      </c>
      <c r="E178" s="23"/>
      <c r="F178" s="26"/>
      <c r="G178" s="29" t="s">
        <v>196</v>
      </c>
      <c r="H178" s="29">
        <v>7.1000000000000002E-4</v>
      </c>
      <c r="I178" s="29" t="s">
        <v>196</v>
      </c>
      <c r="J178" s="29">
        <v>7.1000000000000002E-4</v>
      </c>
    </row>
    <row r="179" spans="1:13" x14ac:dyDescent="0.25">
      <c r="A179" t="s">
        <v>252</v>
      </c>
      <c r="D179" s="6" t="s">
        <v>130</v>
      </c>
      <c r="E179" s="23"/>
      <c r="F179" s="26"/>
      <c r="G179" s="29" t="s">
        <v>196</v>
      </c>
      <c r="H179" s="29">
        <v>7.1000000000000002E-4</v>
      </c>
      <c r="I179" s="29" t="s">
        <v>196</v>
      </c>
      <c r="J179" s="29">
        <v>7.1000000000000002E-4</v>
      </c>
      <c r="K179" s="8" t="s">
        <v>254</v>
      </c>
      <c r="L179" s="30">
        <v>30</v>
      </c>
      <c r="M179" s="73"/>
    </row>
    <row r="180" spans="1:13" x14ac:dyDescent="0.25">
      <c r="A180" t="s">
        <v>252</v>
      </c>
      <c r="D180" s="6" t="s">
        <v>130</v>
      </c>
      <c r="E180" s="23"/>
      <c r="F180" s="26"/>
      <c r="G180" s="29" t="s">
        <v>196</v>
      </c>
      <c r="H180" s="29">
        <v>7.1000000000000002E-4</v>
      </c>
      <c r="I180" s="29" t="s">
        <v>196</v>
      </c>
      <c r="J180" s="29">
        <v>7.1000000000000002E-4</v>
      </c>
      <c r="K180" s="8" t="s">
        <v>255</v>
      </c>
      <c r="L180" s="30">
        <v>19</v>
      </c>
      <c r="M180" s="73"/>
    </row>
    <row r="181" spans="1:13" x14ac:dyDescent="0.25">
      <c r="A181" t="s">
        <v>252</v>
      </c>
      <c r="D181" s="6" t="s">
        <v>130</v>
      </c>
      <c r="E181" s="23"/>
      <c r="F181" s="26"/>
      <c r="G181" s="29" t="s">
        <v>196</v>
      </c>
      <c r="H181" s="29">
        <v>7.1000000000000002E-4</v>
      </c>
      <c r="I181" s="29" t="s">
        <v>196</v>
      </c>
      <c r="J181" s="29">
        <v>7.1000000000000002E-4</v>
      </c>
      <c r="K181" s="8" t="s">
        <v>256</v>
      </c>
      <c r="L181" s="30">
        <v>27</v>
      </c>
      <c r="M181" s="73"/>
    </row>
    <row r="182" spans="1:13" x14ac:dyDescent="0.25">
      <c r="A182" t="s">
        <v>252</v>
      </c>
      <c r="D182" s="6" t="s">
        <v>130</v>
      </c>
      <c r="E182" s="23"/>
      <c r="F182" s="26"/>
      <c r="G182" s="29" t="s">
        <v>196</v>
      </c>
      <c r="H182" s="29">
        <v>7.1000000000000002E-4</v>
      </c>
      <c r="I182" s="29" t="s">
        <v>196</v>
      </c>
      <c r="J182" s="29">
        <v>7.1000000000000002E-4</v>
      </c>
      <c r="K182" s="8" t="s">
        <v>257</v>
      </c>
      <c r="L182" s="30">
        <v>1.7</v>
      </c>
      <c r="M182" s="73"/>
    </row>
    <row r="183" spans="1:13" x14ac:dyDescent="0.25">
      <c r="A183" t="s">
        <v>252</v>
      </c>
      <c r="D183" s="6" t="s">
        <v>130</v>
      </c>
      <c r="E183" s="23"/>
      <c r="F183" s="26"/>
      <c r="G183" s="29" t="s">
        <v>208</v>
      </c>
      <c r="H183" s="29">
        <v>2.5999999999999998E-4</v>
      </c>
      <c r="I183" s="29" t="s">
        <v>208</v>
      </c>
      <c r="J183" s="29">
        <v>2.5999999999999998E-4</v>
      </c>
      <c r="K183" s="8" t="s">
        <v>258</v>
      </c>
      <c r="L183" s="30">
        <v>6.9999999999999999E-4</v>
      </c>
      <c r="M183" s="73">
        <f>SUM(L166:L183)</f>
        <v>110.80069999999999</v>
      </c>
    </row>
    <row r="184" spans="1:13" x14ac:dyDescent="0.25">
      <c r="A184" t="s">
        <v>252</v>
      </c>
      <c r="D184" s="6" t="s">
        <v>133</v>
      </c>
      <c r="E184" s="23"/>
      <c r="F184" s="26"/>
      <c r="G184" s="29" t="s">
        <v>191</v>
      </c>
      <c r="H184" s="29">
        <v>7.1000000000000005E-5</v>
      </c>
      <c r="I184" s="29" t="s">
        <v>191</v>
      </c>
      <c r="J184" s="29">
        <v>7.1000000000000005E-5</v>
      </c>
      <c r="K184" s="8" t="s">
        <v>259</v>
      </c>
      <c r="L184" s="30">
        <v>6.5</v>
      </c>
      <c r="M184" s="73">
        <f>L184</f>
        <v>6.5</v>
      </c>
    </row>
    <row r="185" spans="1:13" x14ac:dyDescent="0.25">
      <c r="A185" t="s">
        <v>252</v>
      </c>
      <c r="D185" s="6" t="s">
        <v>147</v>
      </c>
      <c r="E185" s="23"/>
      <c r="F185" s="26"/>
      <c r="G185" s="29" t="s">
        <v>227</v>
      </c>
      <c r="H185" s="29">
        <v>4.2499999999999998E-4</v>
      </c>
      <c r="I185" s="29" t="s">
        <v>227</v>
      </c>
      <c r="J185" s="29">
        <v>4.2499999999999998E-4</v>
      </c>
      <c r="K185" s="29" t="s">
        <v>226</v>
      </c>
      <c r="L185" s="30">
        <v>1.3</v>
      </c>
      <c r="M185" s="73"/>
    </row>
    <row r="186" spans="1:13" x14ac:dyDescent="0.25">
      <c r="A186" t="s">
        <v>252</v>
      </c>
      <c r="D186" s="6" t="s">
        <v>147</v>
      </c>
      <c r="E186" s="23"/>
      <c r="F186" s="26"/>
      <c r="G186" s="29" t="s">
        <v>230</v>
      </c>
      <c r="H186" s="29">
        <v>5.0000000000000001E-4</v>
      </c>
      <c r="I186" s="29" t="s">
        <v>230</v>
      </c>
      <c r="J186" s="29">
        <v>5.0000000000000001E-4</v>
      </c>
      <c r="K186" s="29" t="s">
        <v>233</v>
      </c>
      <c r="L186" s="30">
        <v>4.2</v>
      </c>
      <c r="M186" s="73"/>
    </row>
    <row r="187" spans="1:13" x14ac:dyDescent="0.25">
      <c r="A187" t="s">
        <v>252</v>
      </c>
      <c r="D187" s="6" t="s">
        <v>147</v>
      </c>
      <c r="E187" s="23"/>
      <c r="F187" s="26"/>
      <c r="G187" s="29" t="s">
        <v>231</v>
      </c>
      <c r="H187" s="29">
        <v>1.5</v>
      </c>
      <c r="I187" s="29" t="s">
        <v>217</v>
      </c>
      <c r="J187" s="30">
        <v>2.8</v>
      </c>
      <c r="K187" s="29" t="s">
        <v>229</v>
      </c>
      <c r="L187" s="30">
        <v>2.56</v>
      </c>
      <c r="M187" s="73"/>
    </row>
    <row r="188" spans="1:13" x14ac:dyDescent="0.25">
      <c r="A188" t="s">
        <v>252</v>
      </c>
      <c r="D188" s="27" t="s">
        <v>147</v>
      </c>
      <c r="E188" s="75" t="s">
        <v>213</v>
      </c>
      <c r="F188" s="75">
        <v>3</v>
      </c>
      <c r="G188" s="75" t="s">
        <v>213</v>
      </c>
      <c r="H188" s="75">
        <v>3</v>
      </c>
      <c r="I188" s="75" t="s">
        <v>213</v>
      </c>
      <c r="J188" s="75">
        <v>3</v>
      </c>
      <c r="K188" s="29" t="s">
        <v>260</v>
      </c>
      <c r="L188" s="29">
        <v>6.4999999999999994E-5</v>
      </c>
      <c r="M188" s="73"/>
    </row>
    <row r="189" spans="1:13" x14ac:dyDescent="0.25">
      <c r="A189" t="s">
        <v>252</v>
      </c>
      <c r="D189" s="27" t="s">
        <v>147</v>
      </c>
      <c r="E189" s="75" t="s">
        <v>233</v>
      </c>
      <c r="F189" s="75">
        <v>4.2</v>
      </c>
      <c r="G189" s="75" t="s">
        <v>233</v>
      </c>
      <c r="H189" s="75">
        <v>4.2</v>
      </c>
      <c r="I189" s="75" t="s">
        <v>233</v>
      </c>
      <c r="J189" s="75">
        <v>4.2</v>
      </c>
      <c r="K189" s="30"/>
      <c r="L189" s="30"/>
    </row>
    <row r="190" spans="1:13" x14ac:dyDescent="0.25">
      <c r="A190" t="s">
        <v>252</v>
      </c>
      <c r="D190" s="6" t="s">
        <v>147</v>
      </c>
      <c r="E190" s="29"/>
      <c r="F190" s="30"/>
      <c r="G190" s="29" t="s">
        <v>128</v>
      </c>
      <c r="H190" s="29">
        <v>4</v>
      </c>
      <c r="I190" s="29" t="s">
        <v>128</v>
      </c>
      <c r="J190" s="29">
        <v>4</v>
      </c>
      <c r="K190" s="29" t="s">
        <v>261</v>
      </c>
      <c r="L190" s="29">
        <v>0.13</v>
      </c>
      <c r="M190" s="73">
        <f>SUM(L185:L190)</f>
        <v>8.1900650000000006</v>
      </c>
    </row>
    <row r="191" spans="1:13" x14ac:dyDescent="0.25">
      <c r="A191" t="s">
        <v>252</v>
      </c>
      <c r="D191" s="6" t="s">
        <v>157</v>
      </c>
      <c r="E191" s="29" t="s">
        <v>260</v>
      </c>
      <c r="F191" s="29">
        <v>6.4999999999999994E-5</v>
      </c>
      <c r="G191" s="29" t="s">
        <v>260</v>
      </c>
      <c r="H191" s="29">
        <v>6.4999999999999994E-5</v>
      </c>
      <c r="I191" s="29" t="s">
        <v>260</v>
      </c>
      <c r="J191" s="29">
        <v>6.4999999999999994E-5</v>
      </c>
      <c r="K191" s="29" t="s">
        <v>249</v>
      </c>
      <c r="L191" s="30">
        <v>4.5</v>
      </c>
      <c r="M191" s="73"/>
    </row>
    <row r="192" spans="1:13" x14ac:dyDescent="0.25">
      <c r="A192" t="s">
        <v>252</v>
      </c>
      <c r="D192" s="29" t="s">
        <v>157</v>
      </c>
      <c r="E192" s="29" t="s">
        <v>261</v>
      </c>
      <c r="F192" s="29">
        <v>0.13</v>
      </c>
      <c r="G192" s="29" t="s">
        <v>261</v>
      </c>
      <c r="H192" s="29">
        <v>0.13</v>
      </c>
      <c r="I192" s="29" t="s">
        <v>261</v>
      </c>
      <c r="J192" s="29">
        <v>0.13</v>
      </c>
      <c r="K192" s="29" t="s">
        <v>262</v>
      </c>
      <c r="L192" s="29">
        <v>4.7E-2</v>
      </c>
      <c r="M192">
        <f>SUM(L191:L192)</f>
        <v>4.5469999999999997</v>
      </c>
    </row>
    <row r="193" spans="13:13" x14ac:dyDescent="0.25">
      <c r="M193">
        <f>SUM(M3:M192)</f>
        <v>820.18182650000017</v>
      </c>
    </row>
  </sheetData>
  <autoFilter ref="A2:L2" xr:uid="{04836566-DDB9-4D21-BECD-322D7262E97C}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4ab9c5-f034-4bc8-a471-e7da6bbf4bfb">
      <Terms xmlns="http://schemas.microsoft.com/office/infopath/2007/PartnerControls"/>
    </lcf76f155ced4ddcb4097134ff3c332f>
    <TaxCatchAll xmlns="f8c4490a-5e77-488c-824f-d1d1c14314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AB0ACC9A17B4A97109E930842C00E" ma:contentTypeVersion="16" ma:contentTypeDescription="Create a new document." ma:contentTypeScope="" ma:versionID="c9399f073fa59baa3d3b0d3580c28582">
  <xsd:schema xmlns:xsd="http://www.w3.org/2001/XMLSchema" xmlns:xs="http://www.w3.org/2001/XMLSchema" xmlns:p="http://schemas.microsoft.com/office/2006/metadata/properties" xmlns:ns2="8c4ab9c5-f034-4bc8-a471-e7da6bbf4bfb" xmlns:ns3="f8c4490a-5e77-488c-824f-d1d1c14314d6" targetNamespace="http://schemas.microsoft.com/office/2006/metadata/properties" ma:root="true" ma:fieldsID="ec07ce5634908243e839c64e44c83a13" ns2:_="" ns3:_="">
    <xsd:import namespace="8c4ab9c5-f034-4bc8-a471-e7da6bbf4bfb"/>
    <xsd:import namespace="f8c4490a-5e77-488c-824f-d1d1c14314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ab9c5-f034-4bc8-a471-e7da6bbf4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4935085-0b0b-47fb-a277-031be1621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4490a-5e77-488c-824f-d1d1c1431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046ae4-010e-488d-b9cf-dcee2a180da6}" ma:internalName="TaxCatchAll" ma:showField="CatchAllData" ma:web="f8c4490a-5e77-488c-824f-d1d1c1431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08AAE-B150-4C18-BF75-3FFB46E09935}">
  <ds:schemaRefs>
    <ds:schemaRef ds:uri="http://schemas.microsoft.com/office/2006/metadata/properties"/>
    <ds:schemaRef ds:uri="http://schemas.microsoft.com/office/infopath/2007/PartnerControls"/>
    <ds:schemaRef ds:uri="8c4ab9c5-f034-4bc8-a471-e7da6bbf4bfb"/>
    <ds:schemaRef ds:uri="f8c4490a-5e77-488c-824f-d1d1c14314d6"/>
  </ds:schemaRefs>
</ds:datastoreItem>
</file>

<file path=customXml/itemProps2.xml><?xml version="1.0" encoding="utf-8"?>
<ds:datastoreItem xmlns:ds="http://schemas.openxmlformats.org/officeDocument/2006/customXml" ds:itemID="{1A9D5C3C-04AF-4C4F-A796-D73525A7A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4ab9c5-f034-4bc8-a471-e7da6bbf4bfb"/>
    <ds:schemaRef ds:uri="f8c4490a-5e77-488c-824f-d1d1c1431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E408A3-3310-4355-A00D-CD67192881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Skip Waste AVG Const</vt:lpstr>
      <vt:lpstr>Waste</vt:lpstr>
      <vt:lpstr>paper</vt:lpstr>
      <vt:lpstr>Old F Gases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Caulfield</dc:creator>
  <cp:keywords/>
  <dc:description/>
  <cp:lastModifiedBy>Bronwen Davies</cp:lastModifiedBy>
  <cp:revision/>
  <dcterms:created xsi:type="dcterms:W3CDTF">2024-08-29T08:19:17Z</dcterms:created>
  <dcterms:modified xsi:type="dcterms:W3CDTF">2026-07-08T14:48:05Z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0x010100BB0AB0ACC9A17B4A97109E930842C00E</vt:lpwstr>
  </property>
  <property fmtid="{D5CDD505-2E9C-101B-9397-08002B2CF9AE}" pid="3" name="Order">
    <vt:r8>896600</vt:r8>
  </property>
  <property fmtid="{D5CDD505-2E9C-101B-9397-08002B2CF9AE}" pid="4" name="MediaServiceImageTags">
    <vt:lpwstr/>
  </property>
</Properties>
</file>